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edanmarkonline.sharepoint.com/sites/KH-RG_Build/Collaboration/IOM_BDK_2019/Shared Documents/"/>
    </mc:Choice>
  </mc:AlternateContent>
  <bookViews>
    <workbookView xWindow="0" yWindow="0" windowWidth="28800" windowHeight="12210" tabRatio="714"/>
  </bookViews>
  <sheets>
    <sheet name="Sporskifte_Stamdata" sheetId="1" r:id="rId1"/>
    <sheet name="Sporskiftekort" sheetId="2" r:id="rId2"/>
    <sheet name="Sporskiftekort_Bagside_1" sheetId="10" r:id="rId3"/>
    <sheet name="Kontrol_FAKOP_Tungeparti_Stam" sheetId="3" r:id="rId4"/>
    <sheet name="Kontrol_FAKOP_Tungeparti_Afvg" sheetId="9" r:id="rId5"/>
    <sheet name="Inddækning_Bevæglig_Hjertespids" sheetId="4" r:id="rId6"/>
    <sheet name="Sporskiftekort_Bagside_2" sheetId="11" r:id="rId7"/>
    <sheet name="Øvrige_Type_2_Kontroller" sheetId="12" r:id="rId8"/>
    <sheet name="Type_2_Kontrol_Tungeruller" sheetId="14" r:id="rId9"/>
    <sheet name="Kontrol_af_Fejlsteder" sheetId="13" r:id="rId10"/>
    <sheet name="Nominelle_Værdier" sheetId="7" r:id="rId11"/>
    <sheet name="Tolerancer" sheetId="8" r:id="rId12"/>
    <sheet name="Sporskifte_Data_Kh_Rg" sheetId="6" r:id="rId13"/>
    <sheet name="Andet" sheetId="5" r:id="rId14"/>
  </sheets>
  <externalReferences>
    <externalReference r:id="rId15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3" l="1"/>
  <c r="C3" i="13" l="1"/>
  <c r="G4" i="2"/>
  <c r="E4" i="2"/>
  <c r="G9" i="2"/>
  <c r="G11" i="2"/>
  <c r="B33" i="14"/>
  <c r="A33" i="14"/>
  <c r="B32" i="14"/>
  <c r="A32" i="14"/>
  <c r="B31" i="14"/>
  <c r="A31" i="14"/>
  <c r="B30" i="14"/>
  <c r="A30" i="14"/>
  <c r="B29" i="14"/>
  <c r="A29" i="14"/>
  <c r="B28" i="14"/>
  <c r="A28" i="14"/>
  <c r="B27" i="14"/>
  <c r="A27" i="14"/>
  <c r="B26" i="14"/>
  <c r="A26" i="14"/>
  <c r="B25" i="14"/>
  <c r="A25" i="14"/>
  <c r="B24" i="14"/>
  <c r="A24" i="14"/>
  <c r="B23" i="14"/>
  <c r="A23" i="14"/>
  <c r="B22" i="14"/>
  <c r="A22" i="14"/>
  <c r="B21" i="14"/>
  <c r="A21" i="14"/>
  <c r="B20" i="14"/>
  <c r="A20" i="14"/>
  <c r="B19" i="14"/>
  <c r="A19" i="14"/>
  <c r="B18" i="14"/>
  <c r="A18" i="14"/>
  <c r="B17" i="14"/>
  <c r="A17" i="14"/>
  <c r="B16" i="14"/>
  <c r="A16" i="14"/>
  <c r="B15" i="14"/>
  <c r="A15" i="14"/>
  <c r="B14" i="14"/>
  <c r="A14" i="14"/>
  <c r="C8" i="1" l="1"/>
  <c r="B8" i="1"/>
  <c r="A8" i="1"/>
  <c r="H6" i="1"/>
  <c r="G6" i="1"/>
  <c r="F6" i="1"/>
  <c r="E6" i="1"/>
  <c r="D6" i="1"/>
  <c r="C6" i="1"/>
  <c r="B6" i="1"/>
  <c r="A6" i="1"/>
  <c r="H4" i="1"/>
  <c r="G4" i="1"/>
  <c r="F4" i="1"/>
  <c r="E4" i="1"/>
  <c r="D4" i="1"/>
  <c r="C4" i="1"/>
  <c r="B4" i="1"/>
  <c r="A4" i="1"/>
  <c r="F2" i="1"/>
  <c r="C2" i="1"/>
  <c r="A2" i="1"/>
  <c r="H8" i="1"/>
  <c r="G8" i="1"/>
  <c r="F8" i="1"/>
  <c r="E8" i="1"/>
  <c r="D8" i="1"/>
  <c r="M7" i="14" l="1"/>
  <c r="Q7" i="14"/>
  <c r="F7" i="14"/>
  <c r="J7" i="14"/>
  <c r="N7" i="14"/>
  <c r="R7" i="14"/>
  <c r="G7" i="14"/>
  <c r="C7" i="14"/>
  <c r="K7" i="14"/>
  <c r="O7" i="14"/>
  <c r="D7" i="14"/>
  <c r="H7" i="14"/>
  <c r="L7" i="14"/>
  <c r="P7" i="14"/>
  <c r="E7" i="14"/>
  <c r="I7" i="14"/>
  <c r="D8" i="2"/>
  <c r="H8" i="2"/>
  <c r="L8" i="2"/>
  <c r="P8" i="2"/>
  <c r="E8" i="2"/>
  <c r="I8" i="2"/>
  <c r="M8" i="2"/>
  <c r="Q8" i="2"/>
  <c r="F8" i="2"/>
  <c r="J8" i="2"/>
  <c r="N8" i="2"/>
  <c r="C8" i="2"/>
  <c r="G8" i="2"/>
  <c r="K8" i="2"/>
  <c r="O8" i="2"/>
  <c r="B31" i="13"/>
  <c r="A31" i="13"/>
  <c r="B30" i="13"/>
  <c r="A30" i="13"/>
  <c r="B29" i="13"/>
  <c r="A29" i="13"/>
  <c r="B28" i="13"/>
  <c r="A28" i="13"/>
  <c r="B27" i="13"/>
  <c r="A27" i="13"/>
  <c r="B26" i="13"/>
  <c r="A26" i="13"/>
  <c r="B25" i="13"/>
  <c r="A25" i="13"/>
  <c r="B24" i="13"/>
  <c r="A24" i="13"/>
  <c r="B23" i="13"/>
  <c r="A23" i="13"/>
  <c r="B22" i="13"/>
  <c r="A22" i="13"/>
  <c r="B21" i="13"/>
  <c r="A21" i="13"/>
  <c r="B20" i="13"/>
  <c r="A20" i="13"/>
  <c r="B19" i="13"/>
  <c r="A19" i="13"/>
  <c r="B18" i="13"/>
  <c r="A18" i="13"/>
  <c r="B17" i="13"/>
  <c r="A17" i="13"/>
  <c r="B16" i="13"/>
  <c r="A16" i="13"/>
  <c r="B15" i="13"/>
  <c r="A15" i="13"/>
  <c r="B14" i="13"/>
  <c r="A14" i="13"/>
  <c r="B13" i="13"/>
  <c r="A13" i="13"/>
  <c r="B12" i="13"/>
  <c r="A12" i="13"/>
  <c r="I9" i="14" l="1"/>
  <c r="I8" i="14"/>
  <c r="H9" i="14"/>
  <c r="H8" i="14"/>
  <c r="C8" i="14"/>
  <c r="C9" i="14"/>
  <c r="J9" i="14"/>
  <c r="J8" i="14"/>
  <c r="E8" i="14"/>
  <c r="E9" i="14"/>
  <c r="D9" i="14"/>
  <c r="D8" i="14"/>
  <c r="G9" i="14"/>
  <c r="G8" i="14"/>
  <c r="F9" i="14"/>
  <c r="F8" i="14"/>
  <c r="P9" i="14"/>
  <c r="P8" i="14"/>
  <c r="O9" i="14"/>
  <c r="O8" i="14"/>
  <c r="R9" i="14"/>
  <c r="R8" i="14"/>
  <c r="Q9" i="14"/>
  <c r="Q8" i="14"/>
  <c r="L8" i="14"/>
  <c r="L9" i="14"/>
  <c r="K9" i="14"/>
  <c r="K8" i="14"/>
  <c r="N9" i="14"/>
  <c r="N8" i="14"/>
  <c r="M8" i="14"/>
  <c r="M9" i="14"/>
  <c r="B31" i="12"/>
  <c r="A31" i="12"/>
  <c r="B30" i="12"/>
  <c r="A30" i="12"/>
  <c r="B29" i="12"/>
  <c r="A29" i="12"/>
  <c r="B28" i="12"/>
  <c r="A28" i="12"/>
  <c r="B27" i="12"/>
  <c r="A27" i="12"/>
  <c r="B26" i="12"/>
  <c r="A26" i="12"/>
  <c r="B25" i="12"/>
  <c r="A25" i="12"/>
  <c r="B24" i="12"/>
  <c r="A24" i="12"/>
  <c r="B23" i="12"/>
  <c r="A23" i="12"/>
  <c r="B22" i="12"/>
  <c r="A22" i="12"/>
  <c r="B21" i="12"/>
  <c r="A21" i="12"/>
  <c r="B20" i="12"/>
  <c r="A20" i="12"/>
  <c r="B19" i="12"/>
  <c r="A19" i="12"/>
  <c r="B18" i="12"/>
  <c r="A18" i="12"/>
  <c r="B17" i="12"/>
  <c r="A17" i="12"/>
  <c r="B16" i="12"/>
  <c r="A16" i="12"/>
  <c r="B15" i="12"/>
  <c r="A15" i="12"/>
  <c r="B14" i="12"/>
  <c r="A14" i="12"/>
  <c r="B13" i="12"/>
  <c r="A13" i="12"/>
  <c r="B12" i="12"/>
  <c r="A12" i="12"/>
  <c r="J7" i="12" l="1"/>
  <c r="C2" i="13" l="1"/>
  <c r="E7" i="12"/>
  <c r="C2" i="11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B11" i="4"/>
  <c r="A11" i="4"/>
  <c r="C2" i="10"/>
  <c r="B36" i="9"/>
  <c r="A36" i="9"/>
  <c r="B35" i="9"/>
  <c r="A35" i="9"/>
  <c r="B34" i="9"/>
  <c r="A34" i="9"/>
  <c r="B33" i="9"/>
  <c r="A33" i="9"/>
  <c r="B32" i="9"/>
  <c r="A32" i="9"/>
  <c r="B31" i="9"/>
  <c r="A31" i="9"/>
  <c r="B30" i="9"/>
  <c r="A30" i="9"/>
  <c r="B29" i="9"/>
  <c r="A29" i="9"/>
  <c r="B28" i="9"/>
  <c r="A28" i="9"/>
  <c r="B27" i="9"/>
  <c r="A27" i="9"/>
  <c r="B26" i="9"/>
  <c r="A26" i="9"/>
  <c r="B25" i="9"/>
  <c r="A25" i="9"/>
  <c r="B24" i="9"/>
  <c r="A24" i="9"/>
  <c r="B23" i="9"/>
  <c r="A23" i="9"/>
  <c r="B22" i="9"/>
  <c r="A22" i="9"/>
  <c r="B21" i="9"/>
  <c r="A21" i="9"/>
  <c r="B20" i="9"/>
  <c r="A20" i="9"/>
  <c r="B19" i="9"/>
  <c r="A19" i="9"/>
  <c r="B18" i="9"/>
  <c r="A18" i="9"/>
  <c r="B17" i="9"/>
  <c r="A17" i="9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17" i="3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C5" i="2"/>
  <c r="E7" i="13" l="1"/>
  <c r="D7" i="13"/>
  <c r="C7" i="13"/>
  <c r="F7" i="13"/>
  <c r="C7" i="9"/>
  <c r="A2" i="10" l="1"/>
  <c r="A2" i="11"/>
  <c r="B2" i="10"/>
  <c r="B2" i="11"/>
  <c r="D8" i="9"/>
  <c r="H8" i="9"/>
  <c r="L8" i="9"/>
  <c r="E7" i="9"/>
  <c r="M7" i="9"/>
  <c r="E8" i="9"/>
  <c r="I8" i="9"/>
  <c r="M8" i="9"/>
  <c r="Q8" i="9"/>
  <c r="F7" i="9"/>
  <c r="J7" i="9"/>
  <c r="N7" i="9"/>
  <c r="F8" i="9"/>
  <c r="J8" i="9"/>
  <c r="N8" i="9"/>
  <c r="C8" i="9"/>
  <c r="G7" i="9"/>
  <c r="K7" i="9"/>
  <c r="O7" i="9"/>
  <c r="G8" i="9"/>
  <c r="K8" i="9"/>
  <c r="O8" i="9"/>
  <c r="D7" i="9"/>
  <c r="H7" i="9"/>
  <c r="L7" i="9"/>
  <c r="P7" i="9"/>
  <c r="P8" i="9"/>
  <c r="I7" i="9"/>
  <c r="Q7" i="9"/>
  <c r="M6" i="2"/>
  <c r="O5" i="9"/>
  <c r="K5" i="9"/>
  <c r="G5" i="9"/>
  <c r="C5" i="9"/>
  <c r="N5" i="9"/>
  <c r="J5" i="9"/>
  <c r="F5" i="9"/>
  <c r="Q5" i="9"/>
  <c r="M5" i="9"/>
  <c r="I5" i="9"/>
  <c r="E5" i="9"/>
  <c r="P5" i="9"/>
  <c r="L5" i="9"/>
  <c r="H5" i="9"/>
  <c r="D5" i="9"/>
  <c r="O6" i="2"/>
  <c r="E5" i="3"/>
  <c r="I5" i="3"/>
  <c r="M5" i="3"/>
  <c r="Q5" i="3"/>
  <c r="C6" i="2"/>
  <c r="F5" i="3"/>
  <c r="J5" i="3"/>
  <c r="N5" i="3"/>
  <c r="R5" i="3"/>
  <c r="G5" i="3"/>
  <c r="K5" i="3"/>
  <c r="O5" i="3"/>
  <c r="S5" i="3"/>
  <c r="D5" i="3"/>
  <c r="H5" i="3"/>
  <c r="L5" i="3"/>
  <c r="P5" i="3"/>
  <c r="C5" i="3"/>
  <c r="Q4" i="2"/>
  <c r="G8" i="3"/>
  <c r="K8" i="3"/>
  <c r="O8" i="3"/>
  <c r="S8" i="3"/>
  <c r="G7" i="3"/>
  <c r="K7" i="3"/>
  <c r="O7" i="3"/>
  <c r="S7" i="3"/>
  <c r="D8" i="3"/>
  <c r="H8" i="3"/>
  <c r="L8" i="3"/>
  <c r="P8" i="3"/>
  <c r="D7" i="3"/>
  <c r="H7" i="3"/>
  <c r="L7" i="3"/>
  <c r="P7" i="3"/>
  <c r="C7" i="3"/>
  <c r="E8" i="3"/>
  <c r="I8" i="3"/>
  <c r="M8" i="3"/>
  <c r="Q8" i="3"/>
  <c r="E7" i="3"/>
  <c r="I7" i="3"/>
  <c r="M7" i="3"/>
  <c r="Q7" i="3"/>
  <c r="C8" i="3"/>
  <c r="F8" i="3"/>
  <c r="J8" i="3"/>
  <c r="N8" i="3"/>
  <c r="R8" i="3"/>
  <c r="F7" i="3"/>
  <c r="J7" i="3"/>
  <c r="N7" i="3"/>
  <c r="R7" i="3"/>
  <c r="J4" i="2"/>
  <c r="L4" i="2"/>
  <c r="D4" i="2"/>
  <c r="O4" i="2"/>
  <c r="F4" i="2"/>
  <c r="K4" i="2"/>
  <c r="P4" i="2"/>
  <c r="P6" i="2"/>
  <c r="P12" i="2" s="1"/>
  <c r="C4" i="2"/>
  <c r="H4" i="2"/>
  <c r="N4" i="2"/>
  <c r="Q6" i="2"/>
  <c r="D6" i="2"/>
  <c r="E6" i="2"/>
  <c r="F6" i="2"/>
  <c r="G6" i="2"/>
  <c r="I4" i="2"/>
  <c r="M4" i="2"/>
  <c r="H6" i="2"/>
  <c r="I6" i="2"/>
  <c r="J6" i="2"/>
  <c r="K6" i="2"/>
  <c r="P10" i="2"/>
  <c r="L6" i="2"/>
  <c r="N6" i="2"/>
  <c r="E12" i="9" l="1"/>
  <c r="E10" i="9"/>
  <c r="E9" i="9"/>
  <c r="E11" i="9"/>
  <c r="J10" i="9"/>
  <c r="J9" i="9"/>
  <c r="J12" i="9"/>
  <c r="J11" i="9"/>
  <c r="K10" i="9"/>
  <c r="K11" i="9"/>
  <c r="K12" i="9"/>
  <c r="K9" i="9"/>
  <c r="L9" i="9"/>
  <c r="L10" i="9"/>
  <c r="L11" i="9"/>
  <c r="L12" i="9"/>
  <c r="I12" i="9"/>
  <c r="I11" i="9"/>
  <c r="I9" i="9"/>
  <c r="I10" i="9"/>
  <c r="N10" i="9"/>
  <c r="N9" i="9"/>
  <c r="N12" i="9"/>
  <c r="N11" i="9"/>
  <c r="O10" i="9"/>
  <c r="O11" i="9"/>
  <c r="O12" i="9"/>
  <c r="O9" i="9"/>
  <c r="P9" i="9"/>
  <c r="P10" i="9"/>
  <c r="P11" i="9"/>
  <c r="P12" i="9"/>
  <c r="M12" i="2"/>
  <c r="M12" i="9"/>
  <c r="M11" i="9"/>
  <c r="M9" i="9"/>
  <c r="M10" i="9"/>
  <c r="C10" i="9"/>
  <c r="C11" i="9"/>
  <c r="C12" i="9"/>
  <c r="C9" i="9"/>
  <c r="D9" i="9"/>
  <c r="D10" i="9"/>
  <c r="D11" i="9"/>
  <c r="D12" i="9"/>
  <c r="Q12" i="9"/>
  <c r="Q10" i="9"/>
  <c r="Q9" i="9"/>
  <c r="Q11" i="9"/>
  <c r="F9" i="9"/>
  <c r="F12" i="9"/>
  <c r="F11" i="9"/>
  <c r="F10" i="9"/>
  <c r="G10" i="9"/>
  <c r="G11" i="9"/>
  <c r="G12" i="9"/>
  <c r="G9" i="9"/>
  <c r="H9" i="9"/>
  <c r="H11" i="9"/>
  <c r="H12" i="9"/>
  <c r="H10" i="9"/>
  <c r="J12" i="3"/>
  <c r="J11" i="3"/>
  <c r="M12" i="3"/>
  <c r="M11" i="3"/>
  <c r="P11" i="3"/>
  <c r="P12" i="3"/>
  <c r="S12" i="3"/>
  <c r="S11" i="3"/>
  <c r="F12" i="3"/>
  <c r="F11" i="3"/>
  <c r="I12" i="3"/>
  <c r="I11" i="3"/>
  <c r="L11" i="3"/>
  <c r="L12" i="3"/>
  <c r="O12" i="3"/>
  <c r="O11" i="3"/>
  <c r="R12" i="3"/>
  <c r="R11" i="3"/>
  <c r="E12" i="3"/>
  <c r="E11" i="3"/>
  <c r="H11" i="3"/>
  <c r="H12" i="3"/>
  <c r="K12" i="3"/>
  <c r="K11" i="3"/>
  <c r="N12" i="3"/>
  <c r="N11" i="3"/>
  <c r="Q12" i="3"/>
  <c r="Q11" i="3"/>
  <c r="C10" i="3"/>
  <c r="C11" i="3"/>
  <c r="C12" i="3"/>
  <c r="D11" i="3"/>
  <c r="D12" i="3"/>
  <c r="G12" i="3"/>
  <c r="G11" i="3"/>
  <c r="P10" i="3"/>
  <c r="L10" i="3"/>
  <c r="O10" i="3"/>
  <c r="J9" i="3"/>
  <c r="J10" i="3"/>
  <c r="M9" i="3"/>
  <c r="M10" i="3"/>
  <c r="S9" i="3"/>
  <c r="S10" i="3"/>
  <c r="F9" i="3"/>
  <c r="F10" i="3"/>
  <c r="I9" i="3"/>
  <c r="I10" i="3"/>
  <c r="R9" i="3"/>
  <c r="R10" i="3"/>
  <c r="E9" i="3"/>
  <c r="E10" i="3"/>
  <c r="H10" i="3"/>
  <c r="K10" i="3"/>
  <c r="N9" i="3"/>
  <c r="N10" i="3"/>
  <c r="Q9" i="3"/>
  <c r="Q10" i="3"/>
  <c r="D10" i="3"/>
  <c r="G10" i="3"/>
  <c r="P9" i="3"/>
  <c r="L9" i="3"/>
  <c r="O9" i="3"/>
  <c r="H9" i="3"/>
  <c r="K9" i="3"/>
  <c r="C9" i="3"/>
  <c r="D9" i="3"/>
  <c r="G9" i="3"/>
  <c r="Q12" i="2"/>
  <c r="O11" i="2"/>
  <c r="O12" i="2"/>
  <c r="O10" i="2"/>
  <c r="Q9" i="2"/>
  <c r="O9" i="2"/>
  <c r="Q11" i="2"/>
  <c r="J9" i="2"/>
  <c r="Q10" i="2"/>
  <c r="J10" i="2"/>
  <c r="H11" i="2"/>
  <c r="J11" i="2"/>
  <c r="J12" i="2"/>
  <c r="H10" i="2"/>
  <c r="H12" i="2"/>
  <c r="I11" i="2"/>
  <c r="H9" i="2"/>
  <c r="L11" i="2"/>
  <c r="K12" i="2"/>
  <c r="M10" i="2"/>
  <c r="M9" i="2"/>
  <c r="M11" i="2"/>
  <c r="P9" i="2"/>
  <c r="L10" i="2"/>
  <c r="K9" i="2"/>
  <c r="C11" i="2"/>
  <c r="K11" i="2"/>
  <c r="I10" i="2"/>
  <c r="L9" i="2"/>
  <c r="I12" i="2"/>
  <c r="P11" i="2"/>
  <c r="K10" i="2"/>
  <c r="L12" i="2"/>
  <c r="C12" i="2"/>
  <c r="E12" i="2"/>
  <c r="E10" i="2"/>
  <c r="E9" i="2"/>
  <c r="E11" i="2"/>
  <c r="N12" i="2"/>
  <c r="N11" i="2"/>
  <c r="N9" i="2"/>
  <c r="N10" i="2"/>
  <c r="I9" i="2"/>
  <c r="C9" i="2"/>
  <c r="G10" i="2"/>
  <c r="G12" i="2"/>
  <c r="D12" i="2"/>
  <c r="D11" i="2"/>
  <c r="D10" i="2"/>
  <c r="D9" i="2"/>
  <c r="C10" i="2"/>
  <c r="F10" i="2"/>
  <c r="F11" i="2"/>
  <c r="F12" i="2"/>
  <c r="F9" i="2"/>
</calcChain>
</file>

<file path=xl/comments1.xml><?xml version="1.0" encoding="utf-8"?>
<comments xmlns="http://schemas.openxmlformats.org/spreadsheetml/2006/main">
  <authors>
    <author>René Xavier Victor Fongemie</author>
  </authors>
  <commentList>
    <comment ref="H2" authorId="0" shapeId="0">
      <text>
        <r>
          <rPr>
            <b/>
            <sz val="9"/>
            <color indexed="81"/>
            <rFont val="Tahoma"/>
            <charset val="1"/>
          </rPr>
          <t xml:space="preserve">Bemærk
</t>
        </r>
        <r>
          <rPr>
            <sz val="9"/>
            <color indexed="81"/>
            <rFont val="Tahoma"/>
            <family val="2"/>
          </rPr>
          <t>Spordskifte_Stamdata arket opdateres automatisk ved at ændre knude ID her, til det rigtige. Data hentes fra arket "Sporskifte_Data_Kh_Rg"</t>
        </r>
      </text>
    </comment>
  </commentList>
</comments>
</file>

<file path=xl/sharedStrings.xml><?xml version="1.0" encoding="utf-8"?>
<sst xmlns="http://schemas.openxmlformats.org/spreadsheetml/2006/main" count="1194" uniqueCount="264">
  <si>
    <t>Sikringsstatus</t>
  </si>
  <si>
    <t>Spornr.</t>
  </si>
  <si>
    <t>Skinnetype</t>
  </si>
  <si>
    <t>Krydsningsforhold</t>
  </si>
  <si>
    <t>Radius</t>
  </si>
  <si>
    <t>Afvigende</t>
  </si>
  <si>
    <t>Krumning</t>
  </si>
  <si>
    <t>Radius i stamspor</t>
  </si>
  <si>
    <t>Banenr.</t>
  </si>
  <si>
    <t>Strækning</t>
  </si>
  <si>
    <t>Bladnr</t>
  </si>
  <si>
    <t>Drift</t>
  </si>
  <si>
    <t>Glidestol</t>
  </si>
  <si>
    <t>Betjening</t>
  </si>
  <si>
    <t>Låsetype</t>
  </si>
  <si>
    <t>Opvarming</t>
  </si>
  <si>
    <t>Hastighedsklasse stamspor</t>
  </si>
  <si>
    <t>Hastighedsklasse afvig. spor</t>
  </si>
  <si>
    <t>Tungeparti/år</t>
  </si>
  <si>
    <t>Krydsning/år</t>
  </si>
  <si>
    <t>Trugsvelle</t>
  </si>
  <si>
    <t>Svelletype/år</t>
  </si>
  <si>
    <t>Ballasttype</t>
  </si>
  <si>
    <t>Ibrugtagning</t>
  </si>
  <si>
    <t>Station</t>
  </si>
  <si>
    <t>Sporskiftenr.</t>
  </si>
  <si>
    <t>KM</t>
  </si>
  <si>
    <t xml:space="preserve">Knude id. </t>
  </si>
  <si>
    <t xml:space="preserve">Sporskiftenr. </t>
  </si>
  <si>
    <t>Knude_ID</t>
  </si>
  <si>
    <t xml:space="preserve">Spornr. </t>
  </si>
  <si>
    <t xml:space="preserve">Skinnetype </t>
  </si>
  <si>
    <t xml:space="preserve">Radius </t>
  </si>
  <si>
    <t>Radius_Stamspor</t>
  </si>
  <si>
    <t>Straekning</t>
  </si>
  <si>
    <t>Kvalitetsklasse_Stamspor</t>
  </si>
  <si>
    <t>Kvalitetsklasse_Avigspor</t>
  </si>
  <si>
    <t>Tungeparti_aar</t>
  </si>
  <si>
    <t>Krydsning_aar</t>
  </si>
  <si>
    <t>Svelletype_aar</t>
  </si>
  <si>
    <t>60E2A1</t>
  </si>
  <si>
    <t>Højre</t>
  </si>
  <si>
    <t xml:space="preserve">Ingen </t>
  </si>
  <si>
    <t>I drift</t>
  </si>
  <si>
    <t>Indbygget ruller</t>
  </si>
  <si>
    <t>Centralbetjent</t>
  </si>
  <si>
    <t>Lübcke System 2000</t>
  </si>
  <si>
    <t>Kvalitetsklasse</t>
  </si>
  <si>
    <t>E</t>
  </si>
  <si>
    <t>D og C</t>
  </si>
  <si>
    <t>B, A og A1</t>
  </si>
  <si>
    <t>MET Drev</t>
  </si>
  <si>
    <t>Ballast</t>
  </si>
  <si>
    <t>1:19</t>
  </si>
  <si>
    <t>1:26,5</t>
  </si>
  <si>
    <t>1:27,5</t>
  </si>
  <si>
    <t>a</t>
  </si>
  <si>
    <t>i</t>
  </si>
  <si>
    <t>p</t>
  </si>
  <si>
    <t>i1</t>
  </si>
  <si>
    <t>p1</t>
  </si>
  <si>
    <t>y</t>
  </si>
  <si>
    <t>y1</t>
  </si>
  <si>
    <t>b</t>
  </si>
  <si>
    <t>b1</t>
  </si>
  <si>
    <t>c</t>
  </si>
  <si>
    <t>c1</t>
  </si>
  <si>
    <t>m</t>
  </si>
  <si>
    <t>l</t>
  </si>
  <si>
    <t>m1</t>
  </si>
  <si>
    <t>l1</t>
  </si>
  <si>
    <t>1400+</t>
  </si>
  <si>
    <t>min</t>
  </si>
  <si>
    <t>max</t>
  </si>
  <si>
    <t>Bladnummer</t>
  </si>
  <si>
    <t>Stamspor/Afvigendespor</t>
  </si>
  <si>
    <t>Akutuel måling (dato/initialer/opg.nr.)</t>
  </si>
  <si>
    <t>d.          af:         opg.nr.</t>
  </si>
  <si>
    <t>Målingdato</t>
  </si>
  <si>
    <t>Initialer</t>
  </si>
  <si>
    <t>Dato</t>
  </si>
  <si>
    <t xml:space="preserve">Sporskiftekort EB </t>
  </si>
  <si>
    <t>Sporskiftekort</t>
  </si>
  <si>
    <t>Stamspor: Kontrol af FAKOP Tungeparti</t>
  </si>
  <si>
    <t>sf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</si>
  <si>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</si>
  <si>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</si>
  <si>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</si>
  <si>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</si>
  <si>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</si>
  <si>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</si>
  <si>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</si>
  <si>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</si>
  <si>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</si>
  <si>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</si>
  <si>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</si>
  <si>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</si>
  <si>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</si>
  <si>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</si>
  <si>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</si>
  <si>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</si>
  <si>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Vedligeholdelsesgrænse: Max Grænse (Sporskiftekort)</t>
  </si>
  <si>
    <t>Vedligeholdelsesgrænse: Min Grænse (Sporskiftekort)</t>
  </si>
  <si>
    <t>Sikkerhedsgrænse: Max Grænse (Sporskiftekort)</t>
  </si>
  <si>
    <t>Sikkerhedsgrænse: Min Grænse (Sporskiftekort)</t>
  </si>
  <si>
    <t>Nominelleværdier (Sporskiftekort)</t>
  </si>
  <si>
    <t>Nominelleværdier (FAKOP Tungeparti: Stamspor)</t>
  </si>
  <si>
    <t>Nominelleværdier (FAKOP Tungeparti: Afvigendespor)</t>
  </si>
  <si>
    <t>N/A</t>
  </si>
  <si>
    <t>002</t>
  </si>
  <si>
    <t>005</t>
  </si>
  <si>
    <t>008</t>
  </si>
  <si>
    <t>011</t>
  </si>
  <si>
    <t>014</t>
  </si>
  <si>
    <t>017</t>
  </si>
  <si>
    <t>020</t>
  </si>
  <si>
    <t>023</t>
  </si>
  <si>
    <t>026</t>
  </si>
  <si>
    <t>029</t>
  </si>
  <si>
    <t>032</t>
  </si>
  <si>
    <t>035</t>
  </si>
  <si>
    <t>038</t>
  </si>
  <si>
    <t>041</t>
  </si>
  <si>
    <t>044</t>
  </si>
  <si>
    <t>047</t>
  </si>
  <si>
    <t>050</t>
  </si>
  <si>
    <t>Kol indeks</t>
  </si>
  <si>
    <t>Stamspor</t>
  </si>
  <si>
    <t>Vedligeholdelsesgrænse: FAKOP Tungeparti</t>
  </si>
  <si>
    <t>Max</t>
  </si>
  <si>
    <t>Min</t>
  </si>
  <si>
    <t>Maxsporvidde</t>
  </si>
  <si>
    <t>Sikkerhedsgrænse: FAKOP Tungeparti</t>
  </si>
  <si>
    <t>Afvigendespor: Kontrol af FAKOP Tungeparti</t>
  </si>
  <si>
    <t>s2a</t>
  </si>
  <si>
    <t>s3a</t>
  </si>
  <si>
    <t>s4a</t>
  </si>
  <si>
    <t>s5a</t>
  </si>
  <si>
    <t>s6a</t>
  </si>
  <si>
    <t>s7a</t>
  </si>
  <si>
    <t>s8a</t>
  </si>
  <si>
    <t>s9a</t>
  </si>
  <si>
    <t>s10a</t>
  </si>
  <si>
    <t>s11a</t>
  </si>
  <si>
    <t>s12a</t>
  </si>
  <si>
    <t>s13a</t>
  </si>
  <si>
    <t>s14a</t>
  </si>
  <si>
    <t>s15a</t>
  </si>
  <si>
    <t>s16a</t>
  </si>
  <si>
    <t>Afvigendespor</t>
  </si>
  <si>
    <t>Svellenumre (FAKOP Tungeparti: Stamspor)</t>
  </si>
  <si>
    <t>Svellenumre (FAKOP Tungeparti: Afvigendespor)</t>
  </si>
  <si>
    <t>Sporskiftenummer</t>
  </si>
  <si>
    <t>Knudeid</t>
  </si>
  <si>
    <t>Bemærkninger</t>
  </si>
  <si>
    <t xml:space="preserve"> </t>
  </si>
  <si>
    <t>Inddækning af den bevægelige hjertespids</t>
  </si>
  <si>
    <t>ss</t>
  </si>
  <si>
    <t>ss-sf</t>
  </si>
  <si>
    <t>Venstre</t>
  </si>
  <si>
    <t>N101</t>
  </si>
  <si>
    <t>Tungetilslutning ved tungespids</t>
  </si>
  <si>
    <t>Anlægsfalden mellem tungen og sideskinnen</t>
  </si>
  <si>
    <t>Dækning af tungespids</t>
  </si>
  <si>
    <t>Nominelle mål [mm]</t>
  </si>
  <si>
    <t>Sikkerhedstolerance [mm]
max./ min.</t>
  </si>
  <si>
    <t>Vedligeholdelsestolerance [mm]
max./ min.</t>
  </si>
  <si>
    <t>Vedligeholdsestolerance [mm]
max.</t>
  </si>
  <si>
    <t>Sikkerhedstolerance [mm]
max.</t>
  </si>
  <si>
    <t>Sikkerhedsgrænse: Tungens tilslutning til tungestøtterne</t>
  </si>
  <si>
    <t>Se Regler</t>
  </si>
  <si>
    <t>Kontrol af tilliggende tunge når sporskiftet er sat til kørsel i stamsporet</t>
  </si>
  <si>
    <t>Øvrige kontroller af sporskiftet</t>
  </si>
  <si>
    <t>Kontrol af tilliggende tunge når sporskiftet er sat til kørsel i afvigende spor</t>
  </si>
  <si>
    <t>Den bevægelige hjertespidsens tilslutning til vingeskinnen</t>
  </si>
  <si>
    <t>Kontroller i tungepartiet</t>
  </si>
  <si>
    <t>Kontroller i krydsningspartiet</t>
  </si>
  <si>
    <t>Kontrol af den bevægelige hjertespids når sporskiftet er sat til kørsel i stamsporet</t>
  </si>
  <si>
    <t>Kontrol af den bevægelige hjertespids når sporskiftet er sat til kørsel i afvigende spor</t>
  </si>
  <si>
    <t>Ja/Nej</t>
  </si>
  <si>
    <t>Ja</t>
  </si>
  <si>
    <t>Nej</t>
  </si>
  <si>
    <t>Måling af tungeslid</t>
  </si>
  <si>
    <r>
      <rPr>
        <b/>
        <sz val="9"/>
        <color theme="1"/>
        <rFont val="Arial"/>
        <family val="2"/>
      </rPr>
      <t>Tungens tilslutning til tunge støtterne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(Tolerance er afhængig af hastighedsklasse)</t>
    </r>
  </si>
  <si>
    <t>Anlægsfladen mellem bevægelige hjertespids og vingeskinnen</t>
  </si>
  <si>
    <t>Den bevægelige hjertespids tilslutning til hjertespidsstøtterne</t>
  </si>
  <si>
    <t>Måling af hjertespidsslid</t>
  </si>
  <si>
    <r>
      <rPr>
        <b/>
        <sz val="9"/>
        <color theme="1"/>
        <rFont val="Arial"/>
        <family val="2"/>
      </rPr>
      <t>Den bevægelige hjertespidsens tilslutning til vingeskinnen</t>
    </r>
    <r>
      <rPr>
        <sz val="9"/>
        <color theme="1"/>
        <rFont val="Arial"/>
        <family val="2"/>
      </rPr>
      <t/>
    </r>
  </si>
  <si>
    <t xml:space="preserve">Anlægsfladen mellem bevægelige hjertespids og vingeskinnen </t>
  </si>
  <si>
    <t>Evt. skriftlige kommentarer til kontollerne</t>
  </si>
  <si>
    <t>Der skal angives om målingen/målingerne/kontrollen overholder reglerne "Ja" eller "Nej".</t>
  </si>
  <si>
    <t>Tungeparti inklusiv forende</t>
  </si>
  <si>
    <t>Mellemparti</t>
  </si>
  <si>
    <t>Krydsningsparti</t>
  </si>
  <si>
    <t>Bagende</t>
  </si>
  <si>
    <t>Sikkerhedstolerance [antal]
max.</t>
  </si>
  <si>
    <t>Priortering</t>
  </si>
  <si>
    <t>Tungeparti (inkl. forende</t>
  </si>
  <si>
    <t>Sikkerhedsgrænse: Fejlsteder</t>
  </si>
  <si>
    <t>Udbedringsterminer: Fejlsteder</t>
  </si>
  <si>
    <t>Evt. skriftlige kommentarer til optælling af fejlstederne</t>
  </si>
  <si>
    <r>
      <t xml:space="preserve">Kvalitetsklasse for hele sporskiftet
</t>
    </r>
    <r>
      <rPr>
        <i/>
        <sz val="9"/>
        <color theme="1"/>
        <rFont val="Arial"/>
        <family val="2"/>
      </rPr>
      <t>(Kvalitetsklasse gældende for hele sporskiftet, og fastsat efter den højeste kvalitetsklasse for stamsporet og afvigende spor)</t>
    </r>
  </si>
  <si>
    <t>Optælling og registrering af fejlsteder i sporskiftet</t>
  </si>
  <si>
    <t>Vedligeholdsestolerance [mm]
min.</t>
  </si>
  <si>
    <t>Sikkerhedstolerance [mm]
min.</t>
  </si>
  <si>
    <t>Avedøre Havnevej</t>
  </si>
  <si>
    <t>Ret</t>
  </si>
  <si>
    <t>Indvendig lås</t>
  </si>
  <si>
    <t>B93 (D19)</t>
  </si>
  <si>
    <t>N102</t>
  </si>
  <si>
    <t>Kildebrønde</t>
  </si>
  <si>
    <t>B93 (D26 / D27)</t>
  </si>
  <si>
    <t>N103</t>
  </si>
  <si>
    <t>N104</t>
  </si>
  <si>
    <t>Jersie Fjern</t>
  </si>
  <si>
    <t>Køge Nord</t>
  </si>
  <si>
    <t>B93 (D26)</t>
  </si>
  <si>
    <t>N105</t>
  </si>
  <si>
    <t>Gennemgående kurve</t>
  </si>
  <si>
    <t>Lellinge</t>
  </si>
  <si>
    <t>Bjæverskov</t>
  </si>
  <si>
    <t>Cts</t>
  </si>
  <si>
    <t>Kontrol af tungeruller</t>
  </si>
  <si>
    <t>Svellenumre (Sporskiftekort)</t>
  </si>
  <si>
    <t>093</t>
  </si>
  <si>
    <t>063</t>
  </si>
  <si>
    <t>Svellenumre (Indbygget Tungeruller)</t>
  </si>
  <si>
    <t>004</t>
  </si>
  <si>
    <t>009</t>
  </si>
  <si>
    <t>013</t>
  </si>
  <si>
    <t>018</t>
  </si>
  <si>
    <t>028</t>
  </si>
  <si>
    <t>007</t>
  </si>
  <si>
    <t>012</t>
  </si>
  <si>
    <t>016</t>
  </si>
  <si>
    <t>021</t>
  </si>
  <si>
    <t>031</t>
  </si>
  <si>
    <t>036</t>
  </si>
  <si>
    <t>040</t>
  </si>
  <si>
    <t>1. tungerulle fra tungespids</t>
  </si>
  <si>
    <t>2. tungerulle fra tungespids</t>
  </si>
  <si>
    <t>3. tungerulle fra tungespids</t>
  </si>
  <si>
    <t>4. tungerulle fra tungespids</t>
  </si>
  <si>
    <t>5. tungerulle fra tungespids</t>
  </si>
  <si>
    <t>6. tungerulle fra tungespids</t>
  </si>
  <si>
    <t>7. tungerulle fra tungespids</t>
  </si>
  <si>
    <t>8. tungerulle fra tungespids</t>
  </si>
  <si>
    <t>Kontrol af tungeruller i tungepartiet</t>
  </si>
  <si>
    <t>1. tungerulle set fra tungespids</t>
  </si>
  <si>
    <t>2. tungerulle set fra tungespids</t>
  </si>
  <si>
    <t>3. tungerulle set fra tungespids</t>
  </si>
  <si>
    <t>4. tungerulle set fra tungespids</t>
  </si>
  <si>
    <t>5. tungerulle set fra tungespids</t>
  </si>
  <si>
    <t>6. tungerulle set fra tungespids</t>
  </si>
  <si>
    <t>7. tungerulle set fra tungespids</t>
  </si>
  <si>
    <t>8. tungerulle set fra tungespids</t>
  </si>
  <si>
    <t>Kol Indeks</t>
  </si>
  <si>
    <r>
      <t xml:space="preserve">Svellenummer </t>
    </r>
    <r>
      <rPr>
        <i/>
        <sz val="9"/>
        <color theme="1"/>
        <rFont val="Arial"/>
        <family val="2"/>
      </rPr>
      <t>(Informativt)</t>
    </r>
  </si>
  <si>
    <t>Antallet af fejlsteder skal optælles
(Se Regler)</t>
  </si>
  <si>
    <t>Sikkerhed: Max antal månder</t>
  </si>
  <si>
    <t>Vedligehold: Max antal månder2</t>
  </si>
  <si>
    <t>Sikkerhedskrav
Maksimalt tid et enkelt fejlsted må ligge i sporskiftet [måneder]</t>
  </si>
  <si>
    <t>Vedligeholdelseskrav
Maksimalt tid et enkelt fejlsted må ligge i sporskiftet [måneder]</t>
  </si>
  <si>
    <r>
      <t xml:space="preserve">Indikativ svellenummer </t>
    </r>
    <r>
      <rPr>
        <i/>
        <sz val="9"/>
        <color theme="1"/>
        <rFont val="Arial"/>
        <family val="2"/>
      </rPr>
      <t>(Informativt)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</si>
</sst>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0" tint="-0.14999847407452621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5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  <xf numFmtId="0" fontId="1" fillId="0" borderId="2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4" xfId="0" applyFont="1" applyBorder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/>
    </xf>
    <xf numFmtId="14" fontId="1" fillId="0" borderId="36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ill="1"/>
    <xf numFmtId="14" fontId="1" fillId="0" borderId="28" xfId="0" applyNumberFormat="1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vertical="center"/>
    </xf>
    <xf numFmtId="0" fontId="5" fillId="0" borderId="0" xfId="0" applyFont="1"/>
    <xf numFmtId="0" fontId="1" fillId="4" borderId="0" xfId="0" applyFont="1" applyFill="1"/>
    <xf numFmtId="0" fontId="1" fillId="4" borderId="42" xfId="0" applyFont="1" applyFill="1" applyBorder="1"/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164" fontId="1" fillId="0" borderId="47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54" xfId="0" applyBorder="1" applyAlignment="1"/>
    <xf numFmtId="0" fontId="0" fillId="0" borderId="4" xfId="0" applyBorder="1" applyAlignment="1"/>
    <xf numFmtId="0" fontId="0" fillId="0" borderId="55" xfId="0" applyBorder="1" applyAlignment="1"/>
    <xf numFmtId="0" fontId="1" fillId="0" borderId="46" xfId="0" applyFont="1" applyBorder="1"/>
    <xf numFmtId="49" fontId="1" fillId="0" borderId="59" xfId="0" applyNumberFormat="1" applyFont="1" applyBorder="1" applyAlignment="1">
      <alignment wrapText="1"/>
    </xf>
    <xf numFmtId="49" fontId="1" fillId="0" borderId="60" xfId="0" applyNumberFormat="1" applyFont="1" applyBorder="1" applyAlignment="1">
      <alignment wrapText="1"/>
    </xf>
    <xf numFmtId="49" fontId="1" fillId="0" borderId="61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Fill="1" applyAlignment="1">
      <alignment horizontal="center" vertical="center"/>
    </xf>
    <xf numFmtId="0" fontId="8" fillId="3" borderId="42" xfId="0" applyFont="1" applyFill="1" applyBorder="1"/>
    <xf numFmtId="0" fontId="1" fillId="4" borderId="0" xfId="0" applyFont="1" applyFill="1" applyBorder="1"/>
    <xf numFmtId="1" fontId="1" fillId="0" borderId="62" xfId="0" applyNumberFormat="1" applyFont="1" applyBorder="1" applyAlignment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1" fillId="0" borderId="64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wrapText="1"/>
    </xf>
    <xf numFmtId="49" fontId="1" fillId="0" borderId="38" xfId="0" applyNumberFormat="1" applyFont="1" applyBorder="1" applyAlignment="1">
      <alignment wrapText="1"/>
    </xf>
    <xf numFmtId="49" fontId="1" fillId="0" borderId="39" xfId="0" applyNumberFormat="1" applyFont="1" applyBorder="1" applyAlignment="1">
      <alignment wrapText="1"/>
    </xf>
    <xf numFmtId="0" fontId="1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NumberFormat="1" applyFont="1"/>
    <xf numFmtId="165" fontId="1" fillId="0" borderId="0" xfId="0" applyNumberFormat="1" applyFont="1"/>
    <xf numFmtId="0" fontId="0" fillId="0" borderId="65" xfId="0" applyBorder="1" applyAlignment="1"/>
    <xf numFmtId="0" fontId="1" fillId="0" borderId="1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textRotation="90" wrapText="1"/>
    </xf>
    <xf numFmtId="0" fontId="5" fillId="0" borderId="63" xfId="0" applyFont="1" applyBorder="1" applyAlignment="1">
      <alignment horizontal="center" textRotation="90" wrapText="1"/>
    </xf>
    <xf numFmtId="0" fontId="1" fillId="0" borderId="63" xfId="0" applyFont="1" applyBorder="1" applyAlignment="1">
      <alignment horizontal="center" textRotation="90" wrapText="1"/>
    </xf>
    <xf numFmtId="0" fontId="1" fillId="0" borderId="53" xfId="0" applyFont="1" applyFill="1" applyBorder="1" applyAlignment="1">
      <alignment horizontal="center" vertical="center"/>
    </xf>
    <xf numFmtId="0" fontId="1" fillId="0" borderId="0" xfId="0" applyFont="1" applyAlignment="1">
      <alignment horizontal="center" textRotation="90"/>
    </xf>
    <xf numFmtId="0" fontId="1" fillId="0" borderId="5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66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3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6" fillId="0" borderId="40" xfId="0" applyFont="1" applyBorder="1"/>
    <xf numFmtId="0" fontId="6" fillId="0" borderId="26" xfId="0" applyFont="1" applyBorder="1"/>
    <xf numFmtId="0" fontId="1" fillId="0" borderId="1" xfId="0" applyFont="1" applyBorder="1"/>
    <xf numFmtId="0" fontId="1" fillId="0" borderId="24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2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4" fillId="0" borderId="34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51" xfId="0" applyBorder="1" applyAlignment="1"/>
    <xf numFmtId="0" fontId="0" fillId="0" borderId="52" xfId="0" applyBorder="1" applyAlignment="1"/>
    <xf numFmtId="0" fontId="0" fillId="0" borderId="53" xfId="0" applyBorder="1" applyAlignment="1"/>
    <xf numFmtId="0" fontId="0" fillId="0" borderId="3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4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09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border outline="0">
        <top style="medium">
          <color theme="1"/>
        </top>
        <bottom style="medium">
          <color theme="1"/>
        </bottom>
      </border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bottom" textRotation="9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933451</xdr:colOff>
      <xdr:row>2</xdr:row>
      <xdr:rowOff>133349</xdr:rowOff>
    </xdr:from>
    <xdr:to>
      <xdr:col>0</xdr:col>
      <xdr:colOff>4333875</xdr:colOff>
      <xdr:row>3</xdr:row>
      <xdr:rowOff>5138810</xdr:rowOff>
    </xdr:to>
    <xdr:pic>
      <xdr:nvPicPr>
        <xdr:cNvPr id="2" name="Billede 1" descr="Fig_16-4_150513804">
          <a:extLst>
            <a:ext uri="{FF2B5EF4-FFF2-40B4-BE49-F238E27FC236}">
              <a16:creationId xmlns:a16="http://schemas.microsoft.com/office/drawing/2014/main" id="{0CD4D536-B55E-4DF7-9626-C1A4C11BBA9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1" y="514349"/>
          <a:ext cx="3400424" cy="5157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2</xdr:row>
      <xdr:rowOff>19050</xdr:rowOff>
    </xdr:from>
    <xdr:to>
      <xdr:col>2</xdr:col>
      <xdr:colOff>5324475</xdr:colOff>
      <xdr:row>3</xdr:row>
      <xdr:rowOff>5191126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E057ADBA-1A09-4962-A134-D13D9FEFEC34}"/>
            </a:ext>
          </a:extLst>
        </xdr:cNvPr>
        <xdr:cNvGrpSpPr/>
      </xdr:nvGrpSpPr>
      <xdr:grpSpPr>
        <a:xfrm>
          <a:off x="123824" y="400050"/>
          <a:ext cx="11963401" cy="5324476"/>
          <a:chOff x="123824" y="400050"/>
          <a:chExt cx="11963401" cy="5324476"/>
        </a:xfrm>
      </xdr:grpSpPr>
      <xdr:sp macro="" textlink="">
        <xdr:nvSpPr>
          <xdr:cNvPr id="7" name="Tekstfelt 6">
            <a:extLst>
              <a:ext uri="{FF2B5EF4-FFF2-40B4-BE49-F238E27FC236}">
                <a16:creationId xmlns:a16="http://schemas.microsoft.com/office/drawing/2014/main" id="{3C41747E-BCA1-4535-BC89-717830CA394E}"/>
              </a:ext>
            </a:extLst>
          </xdr:cNvPr>
          <xdr:cNvSpPr txBox="1"/>
        </xdr:nvSpPr>
        <xdr:spPr>
          <a:xfrm>
            <a:off x="5848350" y="5457826"/>
            <a:ext cx="2428875" cy="266700"/>
          </a:xfrm>
          <a:prstGeom prst="rect">
            <a:avLst/>
          </a:prstGeom>
          <a:solidFill>
            <a:schemeClr val="bg1">
              <a:alpha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da-DK" sz="1100" b="1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</a:t>
            </a:r>
            <a:r>
              <a:rPr lang="da-DK" sz="1100" b="1" baseline="0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tilfælde 3 skal sporskiftet lukkes</a:t>
            </a:r>
            <a:endParaRPr lang="da-DK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8" name="Billede 7">
            <a:extLst>
              <a:ext uri="{FF2B5EF4-FFF2-40B4-BE49-F238E27FC236}">
                <a16:creationId xmlns:a16="http://schemas.microsoft.com/office/drawing/2014/main" id="{95ABB527-3BF7-43EB-8ABE-9BD1876D79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25" y="400050"/>
            <a:ext cx="5524500" cy="19145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Billede 8">
            <a:extLst>
              <a:ext uri="{FF2B5EF4-FFF2-40B4-BE49-F238E27FC236}">
                <a16:creationId xmlns:a16="http://schemas.microsoft.com/office/drawing/2014/main" id="{DF344419-79D8-4421-8637-7B27B1DF8A4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24" y="2505074"/>
            <a:ext cx="5520313" cy="30765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Billede 9">
            <a:extLst>
              <a:ext uri="{FF2B5EF4-FFF2-40B4-BE49-F238E27FC236}">
                <a16:creationId xmlns:a16="http://schemas.microsoft.com/office/drawing/2014/main" id="{1D9E30A9-9005-46FB-B747-2801B93036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57850" y="542925"/>
            <a:ext cx="4724400" cy="24765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Billede 10">
            <a:extLst>
              <a:ext uri="{FF2B5EF4-FFF2-40B4-BE49-F238E27FC236}">
                <a16:creationId xmlns:a16="http://schemas.microsoft.com/office/drawing/2014/main" id="{5EDD7BCE-E97A-402C-B286-63E08A091D3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19750" y="3257551"/>
            <a:ext cx="3733800" cy="222622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Billede 11">
            <a:extLst>
              <a:ext uri="{FF2B5EF4-FFF2-40B4-BE49-F238E27FC236}">
                <a16:creationId xmlns:a16="http://schemas.microsoft.com/office/drawing/2014/main" id="{A52F0F2F-6089-4AA1-8CF1-AD9BC909E4B7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882" b="92189"/>
          <a:stretch/>
        </xdr:blipFill>
        <xdr:spPr bwMode="auto">
          <a:xfrm>
            <a:off x="9334500" y="3236264"/>
            <a:ext cx="2686050" cy="16416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Billede 13">
            <a:extLst>
              <a:ext uri="{FF2B5EF4-FFF2-40B4-BE49-F238E27FC236}">
                <a16:creationId xmlns:a16="http://schemas.microsoft.com/office/drawing/2014/main" id="{16C67B8B-7B1D-4B65-90AA-87D41C792D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902" t="9170"/>
          <a:stretch/>
        </xdr:blipFill>
        <xdr:spPr bwMode="auto">
          <a:xfrm>
            <a:off x="9363075" y="3486150"/>
            <a:ext cx="2724150" cy="19089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5" name="Tekstfelt 14">
            <a:extLst>
              <a:ext uri="{FF2B5EF4-FFF2-40B4-BE49-F238E27FC236}">
                <a16:creationId xmlns:a16="http://schemas.microsoft.com/office/drawing/2014/main" id="{8B53C474-5A49-4788-9F21-68F68EA3A1E0}"/>
              </a:ext>
            </a:extLst>
          </xdr:cNvPr>
          <xdr:cNvSpPr txBox="1"/>
        </xdr:nvSpPr>
        <xdr:spPr>
          <a:xfrm>
            <a:off x="9315450" y="5448301"/>
            <a:ext cx="2428875" cy="266700"/>
          </a:xfrm>
          <a:prstGeom prst="rect">
            <a:avLst/>
          </a:prstGeom>
          <a:solidFill>
            <a:schemeClr val="bg1">
              <a:alpha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da-DK" sz="1100" b="1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</a:t>
            </a:r>
            <a:r>
              <a:rPr lang="da-DK" sz="1100" b="1" baseline="0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tilfælde 4 skal sporskiftet lukkes</a:t>
            </a:r>
            <a:endParaRPr lang="da-DK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xvf\AppData\Local\Microsoft\Windows\Temporary%20Internet%20Files\Content.Outlook\M43NUWCA\Sporskiftekort_Hoejhastigheds_Sporskifter_02.00_LMW_ve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skifte_Stamdata"/>
      <sheetName val="Sporskifte_Data_Kh_Rg"/>
      <sheetName val="Sporskiftekort"/>
      <sheetName val="Sporskiftekort_Bagside_1"/>
      <sheetName val="Kontrol_FAKOP_Tungeparti_Stam"/>
      <sheetName val="Kontrol_FAKOP_Tungeparti_Afvg"/>
      <sheetName val="Inddækning_Bevæglig_Hjertespids"/>
      <sheetName val="Sporskiftekort_Bagside_2"/>
      <sheetName val="Øvrige_Type_2_Kontroller"/>
      <sheetName val="Kontrol_af_Fejlsteder"/>
      <sheetName val="Nominelle_Værdier"/>
      <sheetName val="Tolerancer"/>
      <sheetName val="And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tables/table1.xml><?xml version="1.0" encoding="utf-8"?>
<table xmlns="http://schemas.openxmlformats.org/spreadsheetml/2006/main" id="3" name="Tabel3" displayName="Tabel3" ref="A2:P5" totalsRowShown="0" headerRowDxfId="261" dataDxfId="260">
  <autoFilter ref="A2:P5"/>
  <tableColumns count="16">
    <tableColumn id="1" name="Bladnummer" dataDxfId="259"/>
    <tableColumn id="2" name="a" dataDxfId="258"/>
    <tableColumn id="3" name="i" dataDxfId="257"/>
    <tableColumn id="4" name="i1" dataDxfId="256"/>
    <tableColumn id="5" name="p" dataDxfId="255"/>
    <tableColumn id="6" name="p1" dataDxfId="254"/>
    <tableColumn id="7" name="y" dataDxfId="253"/>
    <tableColumn id="8" name="y1" dataDxfId="252"/>
    <tableColumn id="9" name="b" dataDxfId="251"/>
    <tableColumn id="10" name="b1" dataDxfId="250"/>
    <tableColumn id="11" name="c" dataDxfId="249"/>
    <tableColumn id="12" name="c1" dataDxfId="248"/>
    <tableColumn id="13" name="l" dataDxfId="247"/>
    <tableColumn id="14" name="l1" dataDxfId="246"/>
    <tableColumn id="15" name="m" dataDxfId="245"/>
    <tableColumn id="16" name="m1" dataDxfId="244"/>
  </tableColumns>
  <tableStyleInfo name="TableStyleMedium16" showFirstColumn="0" showLastColumn="0" showRowStripes="1" showColumnStripes="0"/>
</table>
</file>

<file path=xl/tables/table10.xml><?xml version="1.0" encoding="utf-8"?>
<table xmlns="http://schemas.openxmlformats.org/spreadsheetml/2006/main" id="6" name="Tabel47" displayName="Tabel47" ref="A14:P17" totalsRowShown="0" headerRowDxfId="102" dataDxfId="101">
  <autoFilter ref="A14:P17"/>
  <tableColumns count="16">
    <tableColumn id="1" name="Kvalitetsklasse" dataDxfId="100"/>
    <tableColumn id="2" name="a" dataDxfId="99"/>
    <tableColumn id="3" name="i" dataDxfId="98"/>
    <tableColumn id="4" name="i1" dataDxfId="97"/>
    <tableColumn id="5" name="p" dataDxfId="96"/>
    <tableColumn id="6" name="p1" dataDxfId="95"/>
    <tableColumn id="7" name="y" dataDxfId="94"/>
    <tableColumn id="8" name="y1" dataDxfId="93"/>
    <tableColumn id="9" name="b" dataDxfId="92"/>
    <tableColumn id="10" name="b1" dataDxfId="91"/>
    <tableColumn id="11" name="c" dataDxfId="90"/>
    <tableColumn id="12" name="c1" dataDxfId="89"/>
    <tableColumn id="13" name="l" dataDxfId="88"/>
    <tableColumn id="14" name="l1" dataDxfId="87"/>
    <tableColumn id="15" name="m" dataDxfId="86"/>
    <tableColumn id="16" name="m1" dataDxfId="85"/>
  </tableColumns>
  <tableStyleInfo name="TableStyleMedium16" showFirstColumn="0" showLastColumn="0" showRowStripes="1" showColumnStripes="0"/>
</table>
</file>

<file path=xl/tables/table11.xml><?xml version="1.0" encoding="utf-8"?>
<table xmlns="http://schemas.openxmlformats.org/spreadsheetml/2006/main" id="7" name="Tabel468" displayName="Tabel468" ref="A20:P23" totalsRowShown="0" headerRowDxfId="84" dataDxfId="83">
  <autoFilter ref="A20:P23"/>
  <tableColumns count="16">
    <tableColumn id="1" name="Kvalitetsklasse" dataDxfId="82"/>
    <tableColumn id="2" name="a" dataDxfId="81"/>
    <tableColumn id="3" name="i" dataDxfId="80"/>
    <tableColumn id="4" name="i1" dataDxfId="79"/>
    <tableColumn id="5" name="p" dataDxfId="78"/>
    <tableColumn id="6" name="p1" dataDxfId="77"/>
    <tableColumn id="7" name="y" dataDxfId="76"/>
    <tableColumn id="8" name="y1" dataDxfId="75"/>
    <tableColumn id="9" name="b" dataDxfId="74"/>
    <tableColumn id="10" name="b1" dataDxfId="73"/>
    <tableColumn id="11" name="c" dataDxfId="72"/>
    <tableColumn id="12" name="c1" dataDxfId="71"/>
    <tableColumn id="13" name="l" dataDxfId="70"/>
    <tableColumn id="14" name="l1" dataDxfId="69"/>
    <tableColumn id="15" name="m" dataDxfId="68"/>
    <tableColumn id="16" name="m1" dataDxfId="67"/>
  </tableColumns>
  <tableStyleInfo name="TableStyleMedium16" showFirstColumn="0" showLastColumn="0" showRowStripes="1" showColumnStripes="0"/>
</table>
</file>

<file path=xl/tables/table12.xml><?xml version="1.0" encoding="utf-8"?>
<table xmlns="http://schemas.openxmlformats.org/spreadsheetml/2006/main" id="11" name="Tabel11" displayName="Tabel11" ref="A26:C29" totalsRowShown="0" headerRowDxfId="66" dataDxfId="65">
  <autoFilter ref="A26:C29"/>
  <tableColumns count="3">
    <tableColumn id="1" name="Kvalitetsklasse" dataDxfId="64"/>
    <tableColumn id="2" name="Max" dataDxfId="63"/>
    <tableColumn id="3" name="Min" dataDxfId="62"/>
  </tableColumns>
  <tableStyleInfo name="TableStyleMedium16" showFirstColumn="0" showLastColumn="0" showRowStripes="1" showColumnStripes="0"/>
</table>
</file>

<file path=xl/tables/table13.xml><?xml version="1.0" encoding="utf-8"?>
<table xmlns="http://schemas.openxmlformats.org/spreadsheetml/2006/main" id="12" name="Tabel12" displayName="Tabel12" ref="E27:E28" totalsRowShown="0" headerRowDxfId="61" dataDxfId="60">
  <autoFilter ref="E27:E28"/>
  <tableColumns count="1">
    <tableColumn id="1" name="Maxsporvidde" dataDxfId="59"/>
  </tableColumns>
  <tableStyleInfo name="TableStyleMedium16" showFirstColumn="0" showLastColumn="0" showRowStripes="1" showColumnStripes="0"/>
</table>
</file>

<file path=xl/tables/table14.xml><?xml version="1.0" encoding="utf-8"?>
<table xmlns="http://schemas.openxmlformats.org/spreadsheetml/2006/main" id="13" name="Tabel1114" displayName="Tabel1114" ref="A32:C35" totalsRowShown="0" headerRowDxfId="58" dataDxfId="57">
  <autoFilter ref="A32:C35"/>
  <tableColumns count="3">
    <tableColumn id="1" name="Kvalitetsklasse" dataDxfId="56"/>
    <tableColumn id="2" name="Max" dataDxfId="55"/>
    <tableColumn id="3" name="Min" dataDxfId="54"/>
  </tableColumns>
  <tableStyleInfo name="TableStyleMedium16" showFirstColumn="0" showLastColumn="0" showRowStripes="1" showColumnStripes="0"/>
</table>
</file>

<file path=xl/tables/table15.xml><?xml version="1.0" encoding="utf-8"?>
<table xmlns="http://schemas.openxmlformats.org/spreadsheetml/2006/main" id="14" name="Tabel1215" displayName="Tabel1215" ref="E33:E34" totalsRowShown="0" headerRowDxfId="53" dataDxfId="52">
  <autoFilter ref="E33:E34"/>
  <tableColumns count="1">
    <tableColumn id="1" name="Maxsporvidde" dataDxfId="51"/>
  </tableColumns>
  <tableStyleInfo name="TableStyleMedium16" showFirstColumn="0" showLastColumn="0" showRowStripes="1" showColumnStripes="0"/>
</table>
</file>

<file path=xl/tables/table16.xml><?xml version="1.0" encoding="utf-8"?>
<table xmlns="http://schemas.openxmlformats.org/spreadsheetml/2006/main" id="16" name="Tabel111417" displayName="Tabel111417" ref="A38:B41" totalsRowShown="0" headerRowDxfId="50" dataDxfId="49">
  <autoFilter ref="A38:B41"/>
  <tableColumns count="2">
    <tableColumn id="1" name="Kvalitetsklasse" dataDxfId="48"/>
    <tableColumn id="3" name="Max" dataDxfId="47"/>
  </tableColumns>
  <tableStyleInfo name="TableStyleMedium16" showFirstColumn="0" showLastColumn="0" showRowStripes="1" showColumnStripes="0"/>
</table>
</file>

<file path=xl/tables/table17.xml><?xml version="1.0" encoding="utf-8"?>
<table xmlns="http://schemas.openxmlformats.org/spreadsheetml/2006/main" id="18" name="Tabel18" displayName="Tabel18" ref="A44:E47" totalsRowShown="0" headerRowDxfId="46" dataDxfId="45">
  <autoFilter ref="A44:E47"/>
  <tableColumns count="5">
    <tableColumn id="1" name="Kvalitetsklasse"/>
    <tableColumn id="2" name="Tungeparti (inkl. forende" dataDxfId="44"/>
    <tableColumn id="3" name="Krydsningsparti" dataDxfId="43"/>
    <tableColumn id="4" name="Mellemparti" dataDxfId="42"/>
    <tableColumn id="5" name="Bagende" dataDxfId="41"/>
  </tableColumns>
  <tableStyleInfo name="TableStyleMedium16" showFirstColumn="0" showLastColumn="0" showRowStripes="1" showColumnStripes="0"/>
</table>
</file>

<file path=xl/tables/table18.xml><?xml version="1.0" encoding="utf-8"?>
<table xmlns="http://schemas.openxmlformats.org/spreadsheetml/2006/main" id="19" name="Tabel19" displayName="Tabel19" ref="A50:C53" totalsRowShown="0" headerRowDxfId="40" headerRowBorderDxfId="39" tableBorderDxfId="38">
  <autoFilter ref="A50:C53"/>
  <tableColumns count="3">
    <tableColumn id="1" name="Kvalitetsklasse"/>
    <tableColumn id="2" name="Sikkerhed: Max antal månder"/>
    <tableColumn id="3" name="Vedligehold: Max antal månder2" dataDxfId="37"/>
  </tableColumns>
  <tableStyleInfo name="TableStyleMedium16" showFirstColumn="0" showLastColumn="0" showRowStripes="1" showColumnStripes="0"/>
</table>
</file>

<file path=xl/tables/table19.xml><?xml version="1.0" encoding="utf-8"?>
<table xmlns="http://schemas.openxmlformats.org/spreadsheetml/2006/main" id="2" name="Tabel2" displayName="Tabel2" ref="A1:AB24" totalsRowShown="0" headerRowDxfId="36" dataDxfId="35">
  <autoFilter ref="A1:AB24"/>
  <tableColumns count="28">
    <tableColumn id="1" name="Knude_ID" dataDxfId="34"/>
    <tableColumn id="29" name="Station" dataDxfId="33"/>
    <tableColumn id="2" name="Sporskiftenr. " dataDxfId="32"/>
    <tableColumn id="3" name="Banenr." dataDxfId="31"/>
    <tableColumn id="4" name="Straekning" dataDxfId="30"/>
    <tableColumn id="5" name="KM" dataDxfId="29"/>
    <tableColumn id="7" name="Sikringsstatus" dataDxfId="28"/>
    <tableColumn id="8" name="Spornr. " dataDxfId="27"/>
    <tableColumn id="9" name="Skinnetype " dataDxfId="26"/>
    <tableColumn id="10" name="Krydsningsforhold" dataDxfId="25"/>
    <tableColumn id="11" name="Radius " dataDxfId="24"/>
    <tableColumn id="12" name="Afvigende" dataDxfId="23"/>
    <tableColumn id="13" name="Krumning" dataDxfId="22"/>
    <tableColumn id="14" name="Radius_Stamspor" dataDxfId="21"/>
    <tableColumn id="15" name="Bladnr" dataDxfId="20"/>
    <tableColumn id="16" name="Drift" dataDxfId="19"/>
    <tableColumn id="17" name="Glidestol" dataDxfId="18"/>
    <tableColumn id="18" name="Betjening" dataDxfId="17"/>
    <tableColumn id="19" name="Låsetype" dataDxfId="16"/>
    <tableColumn id="20" name="Opvarming" dataDxfId="15"/>
    <tableColumn id="21" name="Kvalitetsklasse_Stamspor" dataDxfId="14"/>
    <tableColumn id="22" name="Kvalitetsklasse_Avigspor" dataDxfId="13"/>
    <tableColumn id="23" name="Tungeparti_aar" dataDxfId="12"/>
    <tableColumn id="24" name="Krydsning_aar" dataDxfId="11"/>
    <tableColumn id="25" name="Trugsvelle" dataDxfId="10"/>
    <tableColumn id="26" name="Svelletype_aar" dataDxfId="9"/>
    <tableColumn id="27" name="Ballasttype" dataDxfId="8"/>
    <tableColumn id="28" name="Ibrugtagning" dataDxfId="7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8" name="Tabel8" displayName="Tabel8" ref="A14:R17" totalsRowShown="0" headerRowDxfId="243" dataDxfId="242">
  <autoFilter ref="A14:R17"/>
  <tableColumns count="18">
    <tableColumn id="1" name="Bladnummer" dataDxfId="241"/>
    <tableColumn id="2" name="sf" dataDxfId="240"/>
    <tableColumn id="3" name="s1" dataDxfId="239"/>
    <tableColumn id="4" name="s2" dataDxfId="238"/>
    <tableColumn id="5" name="s3" dataDxfId="237"/>
    <tableColumn id="6" name="s4" dataDxfId="236"/>
    <tableColumn id="7" name="s5" dataDxfId="235"/>
    <tableColumn id="8" name="s6" dataDxfId="234"/>
    <tableColumn id="9" name="s7" dataDxfId="233"/>
    <tableColumn id="10" name="s8" dataDxfId="232"/>
    <tableColumn id="11" name="s9" dataDxfId="231"/>
    <tableColumn id="12" name="s10" dataDxfId="230"/>
    <tableColumn id="13" name="s11" dataDxfId="229"/>
    <tableColumn id="14" name="s12" dataDxfId="228"/>
    <tableColumn id="15" name="s13" dataDxfId="227"/>
    <tableColumn id="16" name="s14" dataDxfId="226"/>
    <tableColumn id="17" name="s15" dataDxfId="225"/>
    <tableColumn id="18" name="s16" dataDxfId="224"/>
  </tableColumns>
  <tableStyleInfo name="TableStyleMedium16" showFirstColumn="0" showLastColumn="0" showRowStripes="1" showColumnStripes="0"/>
</table>
</file>

<file path=xl/tables/table20.xml><?xml version="1.0" encoding="utf-8"?>
<table xmlns="http://schemas.openxmlformats.org/spreadsheetml/2006/main" id="1" name="Tabel1" displayName="Tabel1" ref="A1:B4" totalsRowShown="0" headerRowDxfId="6" dataDxfId="5">
  <autoFilter ref="A1:B4"/>
  <tableColumns count="2">
    <tableColumn id="2" name="Kvalitetsklasse" dataDxfId="4"/>
    <tableColumn id="1" name="Priortering" dataDxfId="3"/>
  </tableColumns>
  <tableStyleInfo name="TableStyleMedium16" showFirstColumn="0" showLastColumn="0" showRowStripes="1" showColumnStripes="0"/>
</table>
</file>

<file path=xl/tables/table21.xml><?xml version="1.0" encoding="utf-8"?>
<table xmlns="http://schemas.openxmlformats.org/spreadsheetml/2006/main" id="17" name="Tabel17" displayName="Tabel17" ref="A6:A8" totalsRowShown="0" headerRowDxfId="2" dataDxfId="1">
  <autoFilter ref="A6:A8"/>
  <tableColumns count="1">
    <tableColumn id="1" name="Ja/Nej" dataDxfId="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9" name="Tabel810" displayName="Tabel810" ref="A20:P23" totalsRowShown="0" headerRowDxfId="223" dataDxfId="222">
  <autoFilter ref="A20:P23"/>
  <tableColumns count="16">
    <tableColumn id="1" name="Bladnummer" dataDxfId="221"/>
    <tableColumn id="4" name="s2a" dataDxfId="220"/>
    <tableColumn id="5" name="s3a" dataDxfId="219"/>
    <tableColumn id="6" name="s4a" dataDxfId="218"/>
    <tableColumn id="7" name="s5a" dataDxfId="217"/>
    <tableColumn id="8" name="s6a" dataDxfId="216"/>
    <tableColumn id="9" name="s7a" dataDxfId="215"/>
    <tableColumn id="10" name="s8a" dataDxfId="214"/>
    <tableColumn id="11" name="s9a" dataDxfId="213"/>
    <tableColumn id="12" name="s10a" dataDxfId="212"/>
    <tableColumn id="13" name="s11a" dataDxfId="211"/>
    <tableColumn id="14" name="s12a" dataDxfId="210"/>
    <tableColumn id="15" name="s13a" dataDxfId="209"/>
    <tableColumn id="16" name="s14a" dataDxfId="208"/>
    <tableColumn id="17" name="s15a" dataDxfId="207"/>
    <tableColumn id="18" name="s16a" dataDxfId="206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10" name="Tabel81011" displayName="Tabel81011" ref="A26:R29" totalsRowShown="0" headerRowDxfId="205" dataDxfId="204">
  <autoFilter ref="A26:R29"/>
  <tableColumns count="18">
    <tableColumn id="1" name="Bladnummer" dataDxfId="203"/>
    <tableColumn id="2" name="sf" dataDxfId="202"/>
    <tableColumn id="3" name="s1" dataDxfId="201"/>
    <tableColumn id="4" name="s2" dataDxfId="200"/>
    <tableColumn id="5" name="s3" dataDxfId="199"/>
    <tableColumn id="6" name="s4" dataDxfId="198"/>
    <tableColumn id="7" name="s5" dataDxfId="197"/>
    <tableColumn id="8" name="s6" dataDxfId="196"/>
    <tableColumn id="9" name="s7" dataDxfId="195"/>
    <tableColumn id="10" name="s8" dataDxfId="194"/>
    <tableColumn id="11" name="s9" dataDxfId="193"/>
    <tableColumn id="12" name="s10" dataDxfId="192"/>
    <tableColumn id="13" name="s11" dataDxfId="191"/>
    <tableColumn id="14" name="s12" dataDxfId="190"/>
    <tableColumn id="15" name="s13" dataDxfId="189"/>
    <tableColumn id="16" name="s14" dataDxfId="188"/>
    <tableColumn id="17" name="s15" dataDxfId="187"/>
    <tableColumn id="18" name="s16" dataDxfId="186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15" name="Tabel8101116" displayName="Tabel8101116" ref="A32:P35" totalsRowShown="0" headerRowDxfId="185" dataDxfId="184">
  <autoFilter ref="A32:P35"/>
  <tableColumns count="16">
    <tableColumn id="1" name="Bladnummer" dataDxfId="183"/>
    <tableColumn id="4" name="s2a" dataDxfId="182"/>
    <tableColumn id="5" name="s3a" dataDxfId="181"/>
    <tableColumn id="6" name="s4a" dataDxfId="180"/>
    <tableColumn id="7" name="s5a" dataDxfId="179"/>
    <tableColumn id="8" name="s6a" dataDxfId="178"/>
    <tableColumn id="9" name="s7a" dataDxfId="177"/>
    <tableColumn id="10" name="s8a" dataDxfId="176"/>
    <tableColumn id="11" name="s9a" dataDxfId="175"/>
    <tableColumn id="12" name="s10a" dataDxfId="174"/>
    <tableColumn id="13" name="s11a" dataDxfId="173"/>
    <tableColumn id="14" name="s12a" dataDxfId="172"/>
    <tableColumn id="15" name="s13a" dataDxfId="171"/>
    <tableColumn id="16" name="s14a" dataDxfId="170"/>
    <tableColumn id="17" name="s15a" dataDxfId="169"/>
    <tableColumn id="18" name="s16a" dataDxfId="168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20" name="Tabel321" displayName="Tabel321" ref="A8:P11" totalsRowShown="0" headerRowDxfId="167" dataDxfId="166">
  <autoFilter ref="A8:P11"/>
  <tableColumns count="16">
    <tableColumn id="1" name="Bladnummer" dataDxfId="165"/>
    <tableColumn id="2" name="a" dataDxfId="164"/>
    <tableColumn id="3" name="i" dataDxfId="163"/>
    <tableColumn id="4" name="i1" dataDxfId="162"/>
    <tableColumn id="5" name="p" dataDxfId="161"/>
    <tableColumn id="6" name="p1" dataDxfId="160"/>
    <tableColumn id="7" name="y" dataDxfId="159"/>
    <tableColumn id="8" name="y1" dataDxfId="158"/>
    <tableColumn id="9" name="b" dataDxfId="157"/>
    <tableColumn id="10" name="b1" dataDxfId="156"/>
    <tableColumn id="11" name="c" dataDxfId="155"/>
    <tableColumn id="12" name="c1" dataDxfId="154"/>
    <tableColumn id="13" name="l" dataDxfId="153"/>
    <tableColumn id="14" name="l1" dataDxfId="152"/>
    <tableColumn id="15" name="m" dataDxfId="151"/>
    <tableColumn id="16" name="m1" dataDxfId="150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22" name="Tabel22" displayName="Tabel22" ref="A38:I41" totalsRowShown="0" headerRowDxfId="149" dataDxfId="148">
  <autoFilter ref="A38:I41"/>
  <tableColumns count="9">
    <tableColumn id="1" name="Bladnummer" dataDxfId="147"/>
    <tableColumn id="2" name="1. tungerulle fra tungespids" dataDxfId="146"/>
    <tableColumn id="3" name="2. tungerulle fra tungespids" dataDxfId="145"/>
    <tableColumn id="4" name="3. tungerulle fra tungespids" dataDxfId="144"/>
    <tableColumn id="5" name="4. tungerulle fra tungespids" dataDxfId="143"/>
    <tableColumn id="6" name="5. tungerulle fra tungespids" dataDxfId="142"/>
    <tableColumn id="7" name="6. tungerulle fra tungespids" dataDxfId="141"/>
    <tableColumn id="8" name="7. tungerulle fra tungespids" dataDxfId="140"/>
    <tableColumn id="9" name="8. tungerulle fra tungespids" dataDxfId="139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id="4" name="Tabel4" displayName="Tabel4" ref="A2:P5" totalsRowShown="0" headerRowDxfId="138" dataDxfId="137">
  <autoFilter ref="A2:P5"/>
  <tableColumns count="16">
    <tableColumn id="1" name="Kvalitetsklasse" dataDxfId="136"/>
    <tableColumn id="2" name="a" dataDxfId="135"/>
    <tableColumn id="3" name="i" dataDxfId="134"/>
    <tableColumn id="4" name="i1" dataDxfId="133"/>
    <tableColumn id="5" name="p" dataDxfId="132"/>
    <tableColumn id="6" name="p1" dataDxfId="131"/>
    <tableColumn id="7" name="y" dataDxfId="130"/>
    <tableColumn id="8" name="y1" dataDxfId="129"/>
    <tableColumn id="9" name="b" dataDxfId="128"/>
    <tableColumn id="10" name="b1" dataDxfId="127"/>
    <tableColumn id="11" name="c" dataDxfId="126"/>
    <tableColumn id="12" name="c1" dataDxfId="125"/>
    <tableColumn id="13" name="l" dataDxfId="124"/>
    <tableColumn id="14" name="l1" dataDxfId="123"/>
    <tableColumn id="15" name="m" dataDxfId="122"/>
    <tableColumn id="16" name="m1" dataDxfId="121"/>
  </tableColumns>
  <tableStyleInfo name="TableStyleMedium16" showFirstColumn="0" showLastColumn="0" showRowStripes="1" showColumnStripes="0"/>
</table>
</file>

<file path=xl/tables/table9.xml><?xml version="1.0" encoding="utf-8"?>
<table xmlns="http://schemas.openxmlformats.org/spreadsheetml/2006/main" id="5" name="Tabel46" displayName="Tabel46" ref="A8:P11" totalsRowShown="0" headerRowDxfId="120" dataDxfId="119">
  <autoFilter ref="A8:P11"/>
  <tableColumns count="16">
    <tableColumn id="1" name="Kvalitetsklasse" dataDxfId="118"/>
    <tableColumn id="2" name="a" dataDxfId="117"/>
    <tableColumn id="3" name="i" dataDxfId="116"/>
    <tableColumn id="4" name="i1" dataDxfId="115"/>
    <tableColumn id="5" name="p" dataDxfId="114"/>
    <tableColumn id="6" name="p1" dataDxfId="113"/>
    <tableColumn id="7" name="y" dataDxfId="112"/>
    <tableColumn id="8" name="y1" dataDxfId="111"/>
    <tableColumn id="9" name="b" dataDxfId="110"/>
    <tableColumn id="10" name="b1" dataDxfId="109"/>
    <tableColumn id="11" name="c" dataDxfId="108"/>
    <tableColumn id="12" name="c1" dataDxfId="107"/>
    <tableColumn id="13" name="l" dataDxfId="106"/>
    <tableColumn id="14" name="l1" dataDxfId="105"/>
    <tableColumn id="15" name="m" dataDxfId="104"/>
    <tableColumn id="16" name="m1" dataDxfId="103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.xml"/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12" Type="http://schemas.openxmlformats.org/officeDocument/2006/relationships/table" Target="../tables/table18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2.bin"/><Relationship Id="rId6" Type="http://schemas.openxmlformats.org/officeDocument/2006/relationships/table" Target="../tables/table12.xml"/><Relationship Id="rId11" Type="http://schemas.openxmlformats.org/officeDocument/2006/relationships/table" Target="../tables/table17.xml"/><Relationship Id="rId5" Type="http://schemas.openxmlformats.org/officeDocument/2006/relationships/table" Target="../tables/table11.xml"/><Relationship Id="rId10" Type="http://schemas.openxmlformats.org/officeDocument/2006/relationships/table" Target="../tables/table16.xml"/><Relationship Id="rId4" Type="http://schemas.openxmlformats.org/officeDocument/2006/relationships/table" Target="../tables/table10.xml"/><Relationship Id="rId9" Type="http://schemas.openxmlformats.org/officeDocument/2006/relationships/table" Target="../tables/table1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Normal="100" workbookViewId="0">
      <selection activeCell="C36" sqref="C36"/>
    </sheetView>
  </sheetViews>
  <sheetFormatPr defaultRowHeight="12" x14ac:dyDescent="0.2"/>
  <cols>
    <col min="1" max="8" width="25.7109375" style="1" customWidth="1"/>
    <col min="9" max="16384" width="9.140625" style="1"/>
  </cols>
  <sheetData>
    <row r="1" spans="1:8" ht="20.100000000000001" customHeight="1" x14ac:dyDescent="0.2">
      <c r="A1" s="150" t="s">
        <v>24</v>
      </c>
      <c r="B1" s="150"/>
      <c r="C1" s="150" t="s">
        <v>25</v>
      </c>
      <c r="D1" s="150"/>
      <c r="E1" s="150"/>
      <c r="F1" s="150" t="s">
        <v>26</v>
      </c>
      <c r="G1" s="150"/>
      <c r="H1" s="3" t="s">
        <v>27</v>
      </c>
    </row>
    <row r="2" spans="1:8" ht="30" customHeight="1" thickBot="1" x14ac:dyDescent="0.25">
      <c r="A2" s="151" t="str">
        <f>VLOOKUP($H$2,Sporskifte_Data_Kh_Rg!A2:AB24,2,FALSE)</f>
        <v>Avedøre Havnevej</v>
      </c>
      <c r="B2" s="153"/>
      <c r="C2" s="151" t="str">
        <f>VLOOKUP($H$2,Sporskifte_Data_Kh_Rg!A2:AB24,3,FALSE)</f>
        <v>N101</v>
      </c>
      <c r="D2" s="152"/>
      <c r="E2" s="153"/>
      <c r="F2" s="151">
        <f>VLOOKUP($H$2,Sporskifte_Data_Kh_Rg!A2:AB24,6,FALSE)</f>
        <v>9.0909999999999993</v>
      </c>
      <c r="G2" s="153"/>
      <c r="H2" s="8">
        <v>14526</v>
      </c>
    </row>
    <row r="3" spans="1:8" ht="20.100000000000001" customHeight="1" x14ac:dyDescent="0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20.100000000000001" customHeight="1" thickBot="1" x14ac:dyDescent="0.25">
      <c r="A4" s="2" t="str">
        <f>VLOOKUP($H$2,Sporskifte_Data_Kh_Rg!A2:AB24,7,FALSE)</f>
        <v>Cts</v>
      </c>
      <c r="B4" s="2">
        <f>VLOOKUP($H$2,Sporskifte_Data_Kh_Rg!A2:AB24,8,FALSE)</f>
        <v>2</v>
      </c>
      <c r="C4" s="2" t="str">
        <f>VLOOKUP($H$2,Sporskifte_Data_Kh_Rg!A2:AB24,9,FALSE)</f>
        <v>60E2A1</v>
      </c>
      <c r="D4" s="2" t="str">
        <f>VLOOKUP($H$2,Sporskifte_Data_Kh_Rg!A2:AB24,10,FALSE)</f>
        <v>1:19</v>
      </c>
      <c r="E4" s="2">
        <f>VLOOKUP($H$2,Sporskifte_Data_Kh_Rg!A2:AB24,11,FALSE)</f>
        <v>1200</v>
      </c>
      <c r="F4" s="2" t="str">
        <f>VLOOKUP($H$2,Sporskifte_Data_Kh_Rg!A2:AB24,12,FALSE)</f>
        <v>Venstre</v>
      </c>
      <c r="G4" s="2" t="str">
        <f>VLOOKUP($H$2,Sporskifte_Data_Kh_Rg!A2:AB24,13,FALSE)</f>
        <v xml:space="preserve">Ingen </v>
      </c>
      <c r="H4" s="2" t="str">
        <f>VLOOKUP($H$2,Sporskifte_Data_Kh_Rg!A2:AB24,14,FALSE)</f>
        <v>Ret</v>
      </c>
    </row>
    <row r="5" spans="1:8" ht="20.100000000000001" customHeight="1" x14ac:dyDescent="0.2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</row>
    <row r="6" spans="1:8" ht="20.100000000000001" customHeight="1" thickBot="1" x14ac:dyDescent="0.25">
      <c r="A6" s="2">
        <f>VLOOKUP($H$2,Sporskifte_Data_Kh_Rg!A2:AB24,4,FALSE)</f>
        <v>20</v>
      </c>
      <c r="B6" s="2">
        <f>VLOOKUP($H$2,Sporskifte_Data_Kh_Rg!A2:AB24,5,FALSE)</f>
        <v>20009</v>
      </c>
      <c r="C6" s="2">
        <f>VLOOKUP($H$2,Sporskifte_Data_Kh_Rg!A2:AB24,15,FALSE)</f>
        <v>9003</v>
      </c>
      <c r="D6" s="2" t="str">
        <f>VLOOKUP($H$2,Sporskifte_Data_Kh_Rg!A2:AB24,16,FALSE)</f>
        <v>I drift</v>
      </c>
      <c r="E6" s="2" t="str">
        <f>VLOOKUP($H$2,Sporskifte_Data_Kh_Rg!A2:AB24,17,FALSE)</f>
        <v>Indbygget ruller</v>
      </c>
      <c r="F6" s="2" t="str">
        <f>VLOOKUP($H$2,Sporskifte_Data_Kh_Rg!A2:AB24,18,FALSE)</f>
        <v>Centralbetjent</v>
      </c>
      <c r="G6" s="2" t="str">
        <f>VLOOKUP($H$2,Sporskifte_Data_Kh_Rg!A2:AB24,19,FALSE)</f>
        <v>Indvendig lås</v>
      </c>
      <c r="H6" s="2" t="str">
        <f>VLOOKUP($H$2,Sporskifte_Data_Kh_Rg!A2:AB24,20,FALSE)</f>
        <v>Lübcke System 2000</v>
      </c>
    </row>
    <row r="7" spans="1:8" ht="20.100000000000001" customHeight="1" x14ac:dyDescent="0.2">
      <c r="A7" s="5" t="s">
        <v>16</v>
      </c>
      <c r="B7" s="5" t="s">
        <v>17</v>
      </c>
      <c r="C7" s="5" t="s">
        <v>18</v>
      </c>
      <c r="D7" s="5" t="s">
        <v>19</v>
      </c>
      <c r="E7" s="5" t="s">
        <v>20</v>
      </c>
      <c r="F7" s="5" t="s">
        <v>21</v>
      </c>
      <c r="G7" s="5" t="s">
        <v>22</v>
      </c>
      <c r="H7" s="5" t="s">
        <v>23</v>
      </c>
    </row>
    <row r="8" spans="1:8" ht="20.100000000000001" customHeight="1" thickBot="1" x14ac:dyDescent="0.25">
      <c r="A8" s="2" t="str">
        <f>VLOOKUP($H$2,Sporskifte_Data_Kh_Rg!A2:AB24,21,FALSE)</f>
        <v>B, A og A1</v>
      </c>
      <c r="B8" s="2" t="str">
        <f>VLOOKUP($H$2,Sporskifte_Data_Kh_Rg!A2:AB24,22,FALSE)</f>
        <v>D og C</v>
      </c>
      <c r="C8" s="2">
        <f>VLOOKUP($H$2,Sporskifte_Data_Kh_Rg!A2:AB24,23,FALSE)</f>
        <v>2016</v>
      </c>
      <c r="D8" s="2">
        <f>VLOOKUP($H$2,Sporskifte_Data_Kh_Rg!A2:AB24,24,FALSE)</f>
        <v>2016</v>
      </c>
      <c r="E8" s="2" t="str">
        <f>VLOOKUP($H$2,Sporskifte_Data_Kh_Rg!A2:AB24,25,FALSE)</f>
        <v>MET Drev</v>
      </c>
      <c r="F8" s="2" t="str">
        <f>VLOOKUP($H$2,Sporskifte_Data_Kh_Rg!A2:AB24,26,FALSE)</f>
        <v>B93 (D19)</v>
      </c>
      <c r="G8" s="2" t="str">
        <f>VLOOKUP($H$2,Sporskifte_Data_Kh_Rg!A2:AB24,27,FALSE)</f>
        <v>Ballast</v>
      </c>
      <c r="H8" s="2">
        <f>VLOOKUP($H$2,Sporskifte_Data_Kh_Rg!A2:AB24,28,FALSE)</f>
        <v>2019</v>
      </c>
    </row>
    <row r="9" spans="1:8" ht="50.1" customHeight="1" x14ac:dyDescent="0.2">
      <c r="A9" s="147" t="s">
        <v>81</v>
      </c>
      <c r="B9" s="148"/>
      <c r="C9" s="148"/>
      <c r="D9" s="148"/>
      <c r="E9" s="148"/>
      <c r="F9" s="148"/>
      <c r="G9" s="148"/>
      <c r="H9" s="149"/>
    </row>
    <row r="31" spans="6:6" x14ac:dyDescent="0.2">
      <c r="F31" s="1" t="s">
        <v>155</v>
      </c>
    </row>
  </sheetData>
  <sheetProtection selectLockedCells="1"/>
  <mergeCells count="7">
    <mergeCell ref="A9:H9"/>
    <mergeCell ref="C1:E1"/>
    <mergeCell ref="C2:E2"/>
    <mergeCell ref="F1:G1"/>
    <mergeCell ref="F2:G2"/>
    <mergeCell ref="A1:B1"/>
    <mergeCell ref="A2:B2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>&amp;L&amp;"ariel,Normal"&amp;6&amp;A
&amp;F
&amp;Z&amp;F&amp;9
&amp;C&amp;"Arial,Normal"&amp;9Side &amp;P af &amp;N&amp;R&amp;"ariel,Normal"&amp;6&amp;D &amp;T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Normal="100" workbookViewId="0">
      <selection activeCell="G9" sqref="G9"/>
    </sheetView>
  </sheetViews>
  <sheetFormatPr defaultRowHeight="12" x14ac:dyDescent="0.2"/>
  <cols>
    <col min="1" max="1" width="20.7109375" style="1" customWidth="1"/>
    <col min="2" max="2" width="10.7109375" style="1" customWidth="1"/>
    <col min="3" max="6" width="9.140625" style="1" customWidth="1"/>
    <col min="7" max="7" width="50.7109375" style="1" customWidth="1"/>
    <col min="8" max="16384" width="9.140625" style="1"/>
  </cols>
  <sheetData>
    <row r="1" spans="1:7" ht="39.950000000000003" customHeight="1" thickBot="1" x14ac:dyDescent="0.25">
      <c r="A1" s="230" t="s">
        <v>202</v>
      </c>
      <c r="B1" s="230"/>
      <c r="C1" s="230"/>
      <c r="D1" s="230"/>
      <c r="E1" s="230"/>
      <c r="F1" s="230"/>
      <c r="G1" s="230"/>
    </row>
    <row r="2" spans="1:7" ht="60" customHeight="1" thickBot="1" x14ac:dyDescent="0.25">
      <c r="A2" s="211" t="s">
        <v>201</v>
      </c>
      <c r="B2" s="171"/>
      <c r="C2" s="247" t="str">
        <f>IF(VLOOKUP(Sporskifte_Stamdata!$A$8,Andet!A2:B4,2,)&lt;=VLOOKUP(Sporskifte_Stamdata!$B$8,Andet!A2:B4,2,FALSE),Sporskifte_Stamdata!A8,Sporskifte_Stamdata!B8)</f>
        <v>B, A og A1</v>
      </c>
      <c r="D2" s="248"/>
      <c r="E2" s="248"/>
      <c r="F2" s="249"/>
      <c r="G2" s="217" t="s">
        <v>200</v>
      </c>
    </row>
    <row r="3" spans="1:7" ht="45" customHeight="1" thickBot="1" x14ac:dyDescent="0.25">
      <c r="A3" s="269" t="s">
        <v>262</v>
      </c>
      <c r="B3" s="270"/>
      <c r="C3" s="247">
        <f>VLOOKUP($C$2,Tolerancer!A51:C53,3,FALSE)</f>
        <v>3</v>
      </c>
      <c r="D3" s="248"/>
      <c r="E3" s="248"/>
      <c r="F3" s="249"/>
      <c r="G3" s="218"/>
    </row>
    <row r="4" spans="1:7" ht="45" customHeight="1" thickBot="1" x14ac:dyDescent="0.25">
      <c r="A4" s="269" t="s">
        <v>261</v>
      </c>
      <c r="B4" s="270"/>
      <c r="C4" s="247">
        <f>VLOOKUP($C$2,Tolerancer!A51:C53,2,FALSE)</f>
        <v>6</v>
      </c>
      <c r="D4" s="248"/>
      <c r="E4" s="248"/>
      <c r="F4" s="249"/>
      <c r="G4" s="218"/>
    </row>
    <row r="5" spans="1:7" ht="30" customHeight="1" thickBot="1" x14ac:dyDescent="0.25">
      <c r="A5" s="271"/>
      <c r="B5" s="272"/>
      <c r="C5" s="247" t="s">
        <v>258</v>
      </c>
      <c r="D5" s="248"/>
      <c r="E5" s="248"/>
      <c r="F5" s="249"/>
      <c r="G5" s="218"/>
    </row>
    <row r="6" spans="1:7" ht="120" customHeight="1" thickBot="1" x14ac:dyDescent="0.25">
      <c r="A6" s="273"/>
      <c r="B6" s="274"/>
      <c r="C6" s="94" t="s">
        <v>191</v>
      </c>
      <c r="D6" s="92" t="s">
        <v>192</v>
      </c>
      <c r="E6" s="92" t="s">
        <v>193</v>
      </c>
      <c r="F6" s="93" t="s">
        <v>194</v>
      </c>
      <c r="G6" s="266"/>
    </row>
    <row r="7" spans="1:7" ht="30" customHeight="1" thickBot="1" x14ac:dyDescent="0.25">
      <c r="A7" s="211" t="s">
        <v>195</v>
      </c>
      <c r="B7" s="263"/>
      <c r="C7" s="110">
        <f>VLOOKUP($C$2,Tabel18[],2,FALSE)</f>
        <v>6</v>
      </c>
      <c r="D7" s="111">
        <f>VLOOKUP($C$2,Tabel18[],4,FALSE)</f>
        <v>12</v>
      </c>
      <c r="E7" s="111">
        <f>VLOOKUP($C$2,Tabel18[],3,FALSE)</f>
        <v>6</v>
      </c>
      <c r="F7" s="112">
        <f>VLOOKUP($C$2,Tabel18[],5,FALSE)</f>
        <v>6</v>
      </c>
      <c r="G7" s="267"/>
    </row>
    <row r="8" spans="1:7" ht="15" customHeight="1" thickBot="1" x14ac:dyDescent="0.3">
      <c r="A8" s="155" t="s">
        <v>76</v>
      </c>
      <c r="B8" s="156"/>
      <c r="C8" s="268"/>
      <c r="D8" s="222"/>
      <c r="E8" s="222"/>
      <c r="F8" s="222"/>
      <c r="G8" s="223"/>
    </row>
    <row r="9" spans="1:7" ht="50.1" customHeight="1" thickBot="1" x14ac:dyDescent="0.3">
      <c r="A9" s="157" t="s">
        <v>77</v>
      </c>
      <c r="B9" s="158"/>
      <c r="C9" s="99"/>
      <c r="D9" s="100"/>
      <c r="E9" s="100"/>
      <c r="F9" s="100"/>
      <c r="G9" s="102"/>
    </row>
    <row r="10" spans="1:7" ht="15" customHeight="1" x14ac:dyDescent="0.2">
      <c r="A10" s="182" t="s">
        <v>78</v>
      </c>
      <c r="B10" s="183"/>
      <c r="C10" s="224"/>
      <c r="D10" s="225"/>
      <c r="E10" s="225"/>
      <c r="F10" s="225"/>
      <c r="G10" s="226"/>
    </row>
    <row r="11" spans="1:7" ht="15" customHeight="1" thickBot="1" x14ac:dyDescent="0.25">
      <c r="A11" s="41" t="s">
        <v>80</v>
      </c>
      <c r="B11" s="48" t="s">
        <v>79</v>
      </c>
      <c r="C11" s="264"/>
      <c r="D11" s="265"/>
      <c r="E11" s="265"/>
      <c r="F11" s="265"/>
      <c r="G11" s="229"/>
    </row>
    <row r="12" spans="1:7" ht="15" customHeight="1" x14ac:dyDescent="0.2">
      <c r="A12" s="57" t="str">
        <f>IF(Sporskiftekort!A17="","",Sporskiftekort!A17)</f>
        <v/>
      </c>
      <c r="B12" s="65" t="str">
        <f>IF(Sporskiftekort!B17="","",Sporskiftekort!B17)</f>
        <v/>
      </c>
      <c r="C12" s="37"/>
      <c r="D12" s="34"/>
      <c r="E12" s="34"/>
      <c r="F12" s="44"/>
      <c r="G12" s="113"/>
    </row>
    <row r="13" spans="1:7" ht="15" customHeight="1" x14ac:dyDescent="0.2">
      <c r="A13" s="45" t="str">
        <f>IF(Sporskiftekort!A18="","",Sporskiftekort!A18)</f>
        <v/>
      </c>
      <c r="B13" s="66" t="str">
        <f>IF(Sporskiftekort!B18="","",Sporskiftekort!B18)</f>
        <v/>
      </c>
      <c r="C13" s="39"/>
      <c r="D13" s="10"/>
      <c r="E13" s="10"/>
      <c r="F13" s="46"/>
      <c r="G13" s="114"/>
    </row>
    <row r="14" spans="1:7" ht="15" customHeight="1" x14ac:dyDescent="0.2">
      <c r="A14" s="45" t="str">
        <f>IF(Sporskiftekort!A19="","",Sporskiftekort!A19)</f>
        <v/>
      </c>
      <c r="B14" s="66" t="str">
        <f>IF(Sporskiftekort!B19="","",Sporskiftekort!B19)</f>
        <v/>
      </c>
      <c r="C14" s="39"/>
      <c r="D14" s="10"/>
      <c r="E14" s="10"/>
      <c r="F14" s="46"/>
      <c r="G14" s="114"/>
    </row>
    <row r="15" spans="1:7" ht="15" customHeight="1" x14ac:dyDescent="0.2">
      <c r="A15" s="45" t="str">
        <f>IF(Sporskiftekort!A20="","",Sporskiftekort!A20)</f>
        <v/>
      </c>
      <c r="B15" s="66" t="str">
        <f>IF(Sporskiftekort!B20="","",Sporskiftekort!B20)</f>
        <v/>
      </c>
      <c r="C15" s="39"/>
      <c r="D15" s="10"/>
      <c r="E15" s="10"/>
      <c r="F15" s="46"/>
      <c r="G15" s="114"/>
    </row>
    <row r="16" spans="1:7" ht="15" customHeight="1" x14ac:dyDescent="0.2">
      <c r="A16" s="45" t="str">
        <f>IF(Sporskiftekort!A21="","",Sporskiftekort!A21)</f>
        <v/>
      </c>
      <c r="B16" s="66" t="str">
        <f>IF(Sporskiftekort!B21="","",Sporskiftekort!B21)</f>
        <v/>
      </c>
      <c r="C16" s="39"/>
      <c r="D16" s="10"/>
      <c r="E16" s="10"/>
      <c r="F16" s="46"/>
      <c r="G16" s="114"/>
    </row>
    <row r="17" spans="1:7" ht="15" customHeight="1" x14ac:dyDescent="0.2">
      <c r="A17" s="45" t="str">
        <f>IF(Sporskiftekort!A22="","",Sporskiftekort!A22)</f>
        <v/>
      </c>
      <c r="B17" s="66" t="str">
        <f>IF(Sporskiftekort!B22="","",Sporskiftekort!B22)</f>
        <v/>
      </c>
      <c r="C17" s="39"/>
      <c r="D17" s="10"/>
      <c r="E17" s="10"/>
      <c r="F17" s="46"/>
      <c r="G17" s="114"/>
    </row>
    <row r="18" spans="1:7" ht="15" customHeight="1" x14ac:dyDescent="0.2">
      <c r="A18" s="45" t="str">
        <f>IF(Sporskiftekort!A23="","",Sporskiftekort!A23)</f>
        <v/>
      </c>
      <c r="B18" s="66" t="str">
        <f>IF(Sporskiftekort!B23="","",Sporskiftekort!B23)</f>
        <v/>
      </c>
      <c r="C18" s="39"/>
      <c r="D18" s="10"/>
      <c r="E18" s="10"/>
      <c r="F18" s="46"/>
      <c r="G18" s="114"/>
    </row>
    <row r="19" spans="1:7" ht="15" customHeight="1" x14ac:dyDescent="0.2">
      <c r="A19" s="45" t="str">
        <f>IF(Sporskiftekort!A24="","",Sporskiftekort!A24)</f>
        <v/>
      </c>
      <c r="B19" s="66" t="str">
        <f>IF(Sporskiftekort!B24="","",Sporskiftekort!B24)</f>
        <v/>
      </c>
      <c r="C19" s="39"/>
      <c r="D19" s="10"/>
      <c r="E19" s="10"/>
      <c r="F19" s="46"/>
      <c r="G19" s="114"/>
    </row>
    <row r="20" spans="1:7" ht="15" customHeight="1" x14ac:dyDescent="0.2">
      <c r="A20" s="45" t="str">
        <f>IF(Sporskiftekort!A25="","",Sporskiftekort!A25)</f>
        <v/>
      </c>
      <c r="B20" s="66" t="str">
        <f>IF(Sporskiftekort!B25="","",Sporskiftekort!B25)</f>
        <v/>
      </c>
      <c r="C20" s="39"/>
      <c r="D20" s="10"/>
      <c r="E20" s="10"/>
      <c r="F20" s="46"/>
      <c r="G20" s="114"/>
    </row>
    <row r="21" spans="1:7" ht="15" customHeight="1" x14ac:dyDescent="0.2">
      <c r="A21" s="45" t="str">
        <f>IF(Sporskiftekort!A26="","",Sporskiftekort!A26)</f>
        <v/>
      </c>
      <c r="B21" s="66" t="str">
        <f>IF(Sporskiftekort!B26="","",Sporskiftekort!B26)</f>
        <v/>
      </c>
      <c r="C21" s="39"/>
      <c r="D21" s="10"/>
      <c r="E21" s="10"/>
      <c r="F21" s="46"/>
      <c r="G21" s="114"/>
    </row>
    <row r="22" spans="1:7" ht="15" customHeight="1" x14ac:dyDescent="0.2">
      <c r="A22" s="45" t="str">
        <f>IF(Sporskiftekort!A27="","",Sporskiftekort!A27)</f>
        <v/>
      </c>
      <c r="B22" s="66" t="str">
        <f>IF(Sporskiftekort!B27="","",Sporskiftekort!B27)</f>
        <v/>
      </c>
      <c r="C22" s="39"/>
      <c r="D22" s="10"/>
      <c r="E22" s="10"/>
      <c r="F22" s="46"/>
      <c r="G22" s="114"/>
    </row>
    <row r="23" spans="1:7" ht="15" customHeight="1" x14ac:dyDescent="0.2">
      <c r="A23" s="45" t="str">
        <f>IF(Sporskiftekort!A28="","",Sporskiftekort!A28)</f>
        <v/>
      </c>
      <c r="B23" s="66" t="str">
        <f>IF(Sporskiftekort!B28="","",Sporskiftekort!B28)</f>
        <v/>
      </c>
      <c r="C23" s="39"/>
      <c r="D23" s="10"/>
      <c r="E23" s="10"/>
      <c r="F23" s="46"/>
      <c r="G23" s="114"/>
    </row>
    <row r="24" spans="1:7" ht="15" customHeight="1" x14ac:dyDescent="0.2">
      <c r="A24" s="45" t="str">
        <f>IF(Sporskiftekort!A29="","",Sporskiftekort!A29)</f>
        <v/>
      </c>
      <c r="B24" s="66" t="str">
        <f>IF(Sporskiftekort!B29="","",Sporskiftekort!B29)</f>
        <v/>
      </c>
      <c r="C24" s="39"/>
      <c r="D24" s="10"/>
      <c r="E24" s="10"/>
      <c r="F24" s="46"/>
      <c r="G24" s="114"/>
    </row>
    <row r="25" spans="1:7" ht="15" customHeight="1" x14ac:dyDescent="0.2">
      <c r="A25" s="45" t="str">
        <f>IF(Sporskiftekort!A30="","",Sporskiftekort!A30)</f>
        <v/>
      </c>
      <c r="B25" s="66" t="str">
        <f>IF(Sporskiftekort!B30="","",Sporskiftekort!B30)</f>
        <v/>
      </c>
      <c r="C25" s="39"/>
      <c r="D25" s="10"/>
      <c r="E25" s="10"/>
      <c r="F25" s="46"/>
      <c r="G25" s="114"/>
    </row>
    <row r="26" spans="1:7" ht="15" customHeight="1" x14ac:dyDescent="0.2">
      <c r="A26" s="45" t="str">
        <f>IF(Sporskiftekort!A31="","",Sporskiftekort!A31)</f>
        <v/>
      </c>
      <c r="B26" s="66" t="str">
        <f>IF(Sporskiftekort!B31="","",Sporskiftekort!B31)</f>
        <v/>
      </c>
      <c r="C26" s="39"/>
      <c r="D26" s="10"/>
      <c r="E26" s="10"/>
      <c r="F26" s="46"/>
      <c r="G26" s="114"/>
    </row>
    <row r="27" spans="1:7" ht="15" customHeight="1" x14ac:dyDescent="0.2">
      <c r="A27" s="45" t="str">
        <f>IF(Sporskiftekort!A32="","",Sporskiftekort!A32)</f>
        <v/>
      </c>
      <c r="B27" s="66" t="str">
        <f>IF(Sporskiftekort!B32="","",Sporskiftekort!B32)</f>
        <v/>
      </c>
      <c r="C27" s="39"/>
      <c r="D27" s="10"/>
      <c r="E27" s="10"/>
      <c r="F27" s="46"/>
      <c r="G27" s="114"/>
    </row>
    <row r="28" spans="1:7" ht="15" customHeight="1" x14ac:dyDescent="0.2">
      <c r="A28" s="45" t="str">
        <f>IF(Sporskiftekort!A33="","",Sporskiftekort!A33)</f>
        <v/>
      </c>
      <c r="B28" s="66" t="str">
        <f>IF(Sporskiftekort!B33="","",Sporskiftekort!B33)</f>
        <v/>
      </c>
      <c r="C28" s="39"/>
      <c r="D28" s="10"/>
      <c r="E28" s="10"/>
      <c r="F28" s="46"/>
      <c r="G28" s="114"/>
    </row>
    <row r="29" spans="1:7" ht="15" customHeight="1" x14ac:dyDescent="0.2">
      <c r="A29" s="45" t="str">
        <f>IF(Sporskiftekort!A34="","",Sporskiftekort!A34)</f>
        <v/>
      </c>
      <c r="B29" s="66" t="str">
        <f>IF(Sporskiftekort!B34="","",Sporskiftekort!B34)</f>
        <v/>
      </c>
      <c r="C29" s="39"/>
      <c r="D29" s="10"/>
      <c r="E29" s="10"/>
      <c r="F29" s="46"/>
      <c r="G29" s="114"/>
    </row>
    <row r="30" spans="1:7" ht="15" customHeight="1" x14ac:dyDescent="0.2">
      <c r="A30" s="45" t="str">
        <f>IF(Sporskiftekort!A35="","",Sporskiftekort!A35)</f>
        <v/>
      </c>
      <c r="B30" s="66" t="str">
        <f>IF(Sporskiftekort!B35="","",Sporskiftekort!B35)</f>
        <v/>
      </c>
      <c r="C30" s="39"/>
      <c r="D30" s="10"/>
      <c r="E30" s="10"/>
      <c r="F30" s="46"/>
      <c r="G30" s="114"/>
    </row>
    <row r="31" spans="1:7" ht="15" customHeight="1" thickBot="1" x14ac:dyDescent="0.25">
      <c r="A31" s="47" t="str">
        <f>IF(Sporskiftekort!A36="","",Sporskiftekort!A36)</f>
        <v/>
      </c>
      <c r="B31" s="67" t="str">
        <f>IF(Sporskiftekort!B36="","",Sporskiftekort!B36)</f>
        <v/>
      </c>
      <c r="C31" s="41"/>
      <c r="D31" s="2"/>
      <c r="E31" s="2"/>
      <c r="F31" s="48"/>
      <c r="G31" s="115"/>
    </row>
    <row r="32" spans="1:7" ht="15" x14ac:dyDescent="0.25">
      <c r="E32" s="77"/>
      <c r="F32" s="77" t="s">
        <v>155</v>
      </c>
    </row>
  </sheetData>
  <mergeCells count="16">
    <mergeCell ref="A9:B9"/>
    <mergeCell ref="A10:B10"/>
    <mergeCell ref="C10:G11"/>
    <mergeCell ref="A1:G1"/>
    <mergeCell ref="G2:G7"/>
    <mergeCell ref="A2:B2"/>
    <mergeCell ref="A7:B7"/>
    <mergeCell ref="A8:B8"/>
    <mergeCell ref="C8:G8"/>
    <mergeCell ref="C2:F2"/>
    <mergeCell ref="A4:B4"/>
    <mergeCell ref="C4:F4"/>
    <mergeCell ref="C5:F5"/>
    <mergeCell ref="A5:B6"/>
    <mergeCell ref="A3:B3"/>
    <mergeCell ref="C3:F3"/>
  </mergeCells>
  <conditionalFormatting sqref="C12:F31">
    <cfRule type="cellIs" dxfId="263" priority="2" operator="equal">
      <formula>"Nej"</formula>
    </cfRule>
  </conditionalFormatting>
  <conditionalFormatting sqref="C12:F31">
    <cfRule type="cellIs" dxfId="262" priority="1" operator="greaterThan">
      <formula>C$7</formula>
    </cfRule>
  </conditionalFormatting>
  <dataValidations disablePrompts="1" count="1">
    <dataValidation type="whole" operator="greaterThanOrEqual" allowBlank="1" showInputMessage="1" showErrorMessage="1" sqref="C12:F31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71" orientation="landscape" r:id="rId1"/>
  <headerFooter>
    <oddFooter>&amp;L&amp;"ariel,Normal"&amp;6&amp;A
&amp;F
&amp;Z&amp;F&amp;9
&amp;C&amp;"Arial,Normal"&amp;9Side &amp;P af &amp;N&amp;R&amp;"ariel,Normal"&amp;6&amp;D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R41"/>
  <sheetViews>
    <sheetView topLeftCell="A25" zoomScaleNormal="100" workbookViewId="0">
      <selection activeCell="G27" sqref="G27"/>
    </sheetView>
  </sheetViews>
  <sheetFormatPr defaultRowHeight="12" x14ac:dyDescent="0.2"/>
  <cols>
    <col min="1" max="1" width="14.5703125" style="1" customWidth="1"/>
    <col min="2" max="9" width="9.140625" style="1" customWidth="1"/>
    <col min="10" max="16384" width="9.140625" style="1"/>
  </cols>
  <sheetData>
    <row r="1" spans="1:18" x14ac:dyDescent="0.2">
      <c r="A1" s="86" t="s">
        <v>105</v>
      </c>
    </row>
    <row r="2" spans="1:18" x14ac:dyDescent="0.2">
      <c r="A2" s="76" t="s">
        <v>74</v>
      </c>
      <c r="B2" s="75" t="s">
        <v>56</v>
      </c>
      <c r="C2" s="75" t="s">
        <v>57</v>
      </c>
      <c r="D2" s="75" t="s">
        <v>59</v>
      </c>
      <c r="E2" s="75" t="s">
        <v>58</v>
      </c>
      <c r="F2" s="75" t="s">
        <v>60</v>
      </c>
      <c r="G2" s="75" t="s">
        <v>61</v>
      </c>
      <c r="H2" s="75" t="s">
        <v>62</v>
      </c>
      <c r="I2" s="75" t="s">
        <v>63</v>
      </c>
      <c r="J2" s="75" t="s">
        <v>64</v>
      </c>
      <c r="K2" s="75" t="s">
        <v>65</v>
      </c>
      <c r="L2" s="75" t="s">
        <v>66</v>
      </c>
      <c r="M2" s="75" t="s">
        <v>68</v>
      </c>
      <c r="N2" s="75" t="s">
        <v>70</v>
      </c>
      <c r="O2" s="75" t="s">
        <v>67</v>
      </c>
      <c r="P2" s="75" t="s">
        <v>69</v>
      </c>
    </row>
    <row r="3" spans="1:18" x14ac:dyDescent="0.2">
      <c r="A3" s="76">
        <v>9003</v>
      </c>
      <c r="B3" s="75">
        <v>1440</v>
      </c>
      <c r="C3" s="75">
        <v>60</v>
      </c>
      <c r="D3" s="75">
        <v>60</v>
      </c>
      <c r="E3" s="75">
        <v>1378</v>
      </c>
      <c r="F3" s="75">
        <v>1378</v>
      </c>
      <c r="G3" s="75">
        <v>1443</v>
      </c>
      <c r="H3" s="75">
        <v>1443</v>
      </c>
      <c r="I3" s="75">
        <v>1435</v>
      </c>
      <c r="J3" s="75">
        <v>1435</v>
      </c>
      <c r="K3" s="75">
        <v>1435</v>
      </c>
      <c r="L3" s="75">
        <v>1435</v>
      </c>
      <c r="M3" s="75">
        <v>1435</v>
      </c>
      <c r="N3" s="75">
        <v>1435</v>
      </c>
      <c r="O3" s="75">
        <v>60</v>
      </c>
      <c r="P3" s="75">
        <v>60</v>
      </c>
    </row>
    <row r="4" spans="1:18" x14ac:dyDescent="0.2">
      <c r="A4" s="76">
        <v>9004</v>
      </c>
      <c r="B4" s="75">
        <v>1443</v>
      </c>
      <c r="C4" s="75">
        <v>60</v>
      </c>
      <c r="D4" s="75">
        <v>60</v>
      </c>
      <c r="E4" s="75">
        <v>1378</v>
      </c>
      <c r="F4" s="75">
        <v>1378</v>
      </c>
      <c r="G4" s="75">
        <v>1445</v>
      </c>
      <c r="H4" s="75">
        <v>1445</v>
      </c>
      <c r="I4" s="75">
        <v>1435</v>
      </c>
      <c r="J4" s="75">
        <v>1435</v>
      </c>
      <c r="K4" s="75">
        <v>1435</v>
      </c>
      <c r="L4" s="75">
        <v>1435</v>
      </c>
      <c r="M4" s="75">
        <v>1435</v>
      </c>
      <c r="N4" s="75">
        <v>1435</v>
      </c>
      <c r="O4" s="75">
        <v>60</v>
      </c>
      <c r="P4" s="75">
        <v>60</v>
      </c>
    </row>
    <row r="5" spans="1:18" x14ac:dyDescent="0.2">
      <c r="A5" s="76">
        <v>9006</v>
      </c>
      <c r="B5" s="75">
        <v>1443</v>
      </c>
      <c r="C5" s="75">
        <v>60</v>
      </c>
      <c r="D5" s="75">
        <v>60</v>
      </c>
      <c r="E5" s="75">
        <v>1378</v>
      </c>
      <c r="F5" s="75">
        <v>1378</v>
      </c>
      <c r="G5" s="75">
        <v>1445</v>
      </c>
      <c r="H5" s="75">
        <v>1445</v>
      </c>
      <c r="I5" s="75">
        <v>1435</v>
      </c>
      <c r="J5" s="75">
        <v>1435</v>
      </c>
      <c r="K5" s="75">
        <v>1435</v>
      </c>
      <c r="L5" s="75">
        <v>1435</v>
      </c>
      <c r="M5" s="75">
        <v>1435</v>
      </c>
      <c r="N5" s="75">
        <v>1435</v>
      </c>
      <c r="O5" s="75">
        <v>60</v>
      </c>
      <c r="P5" s="75">
        <v>60</v>
      </c>
    </row>
    <row r="7" spans="1:18" x14ac:dyDescent="0.2">
      <c r="A7" s="86" t="s">
        <v>223</v>
      </c>
    </row>
    <row r="8" spans="1:18" x14ac:dyDescent="0.2">
      <c r="A8" s="76" t="s">
        <v>74</v>
      </c>
      <c r="B8" s="75" t="s">
        <v>56</v>
      </c>
      <c r="C8" s="75" t="s">
        <v>57</v>
      </c>
      <c r="D8" s="75" t="s">
        <v>59</v>
      </c>
      <c r="E8" s="75" t="s">
        <v>58</v>
      </c>
      <c r="F8" s="75" t="s">
        <v>60</v>
      </c>
      <c r="G8" s="75" t="s">
        <v>61</v>
      </c>
      <c r="H8" s="75" t="s">
        <v>62</v>
      </c>
      <c r="I8" s="75" t="s">
        <v>63</v>
      </c>
      <c r="J8" s="75" t="s">
        <v>64</v>
      </c>
      <c r="K8" s="75" t="s">
        <v>65</v>
      </c>
      <c r="L8" s="75" t="s">
        <v>66</v>
      </c>
      <c r="M8" s="75" t="s">
        <v>68</v>
      </c>
      <c r="N8" s="75" t="s">
        <v>70</v>
      </c>
      <c r="O8" s="75" t="s">
        <v>67</v>
      </c>
      <c r="P8" s="75" t="s">
        <v>69</v>
      </c>
    </row>
    <row r="9" spans="1:18" x14ac:dyDescent="0.2">
      <c r="A9" s="76">
        <v>9003</v>
      </c>
      <c r="B9" s="91" t="s">
        <v>108</v>
      </c>
      <c r="C9" s="91" t="s">
        <v>108</v>
      </c>
      <c r="D9" s="91" t="s">
        <v>108</v>
      </c>
      <c r="E9" s="91" t="s">
        <v>108</v>
      </c>
      <c r="F9" s="91" t="s">
        <v>108</v>
      </c>
      <c r="G9" s="91" t="s">
        <v>115</v>
      </c>
      <c r="H9" s="91" t="s">
        <v>115</v>
      </c>
      <c r="I9" s="91" t="s">
        <v>108</v>
      </c>
      <c r="J9" s="91" t="s">
        <v>108</v>
      </c>
      <c r="K9" s="91" t="s">
        <v>225</v>
      </c>
      <c r="L9" s="91" t="s">
        <v>225</v>
      </c>
      <c r="M9" s="91" t="s">
        <v>108</v>
      </c>
      <c r="N9" s="91" t="s">
        <v>108</v>
      </c>
      <c r="O9" s="91" t="s">
        <v>108</v>
      </c>
      <c r="P9" s="91" t="s">
        <v>108</v>
      </c>
    </row>
    <row r="10" spans="1:18" x14ac:dyDescent="0.2">
      <c r="A10" s="76">
        <v>9004</v>
      </c>
      <c r="B10" s="91" t="s">
        <v>108</v>
      </c>
      <c r="C10" s="91" t="s">
        <v>108</v>
      </c>
      <c r="D10" s="91" t="s">
        <v>108</v>
      </c>
      <c r="E10" s="91" t="s">
        <v>108</v>
      </c>
      <c r="F10" s="91" t="s">
        <v>108</v>
      </c>
      <c r="G10" s="91" t="s">
        <v>117</v>
      </c>
      <c r="H10" s="91" t="s">
        <v>117</v>
      </c>
      <c r="I10" s="91" t="s">
        <v>108</v>
      </c>
      <c r="J10" s="91" t="s">
        <v>108</v>
      </c>
      <c r="K10" s="91" t="s">
        <v>224</v>
      </c>
      <c r="L10" s="91" t="s">
        <v>224</v>
      </c>
      <c r="M10" s="91" t="s">
        <v>108</v>
      </c>
      <c r="N10" s="91" t="s">
        <v>108</v>
      </c>
      <c r="O10" s="91" t="s">
        <v>108</v>
      </c>
      <c r="P10" s="91" t="s">
        <v>108</v>
      </c>
    </row>
    <row r="11" spans="1:18" x14ac:dyDescent="0.2">
      <c r="A11" s="76">
        <v>9006</v>
      </c>
      <c r="B11" s="91" t="s">
        <v>108</v>
      </c>
      <c r="C11" s="91" t="s">
        <v>108</v>
      </c>
      <c r="D11" s="91" t="s">
        <v>108</v>
      </c>
      <c r="E11" s="91" t="s">
        <v>108</v>
      </c>
      <c r="F11" s="91" t="s">
        <v>108</v>
      </c>
      <c r="G11" s="91" t="s">
        <v>117</v>
      </c>
      <c r="H11" s="91" t="s">
        <v>117</v>
      </c>
      <c r="I11" s="91" t="s">
        <v>108</v>
      </c>
      <c r="J11" s="91" t="s">
        <v>108</v>
      </c>
      <c r="K11" s="91" t="s">
        <v>224</v>
      </c>
      <c r="L11" s="91" t="s">
        <v>224</v>
      </c>
      <c r="M11" s="91" t="s">
        <v>108</v>
      </c>
      <c r="N11" s="91" t="s">
        <v>108</v>
      </c>
      <c r="O11" s="91" t="s">
        <v>108</v>
      </c>
      <c r="P11" s="91" t="s">
        <v>108</v>
      </c>
    </row>
    <row r="13" spans="1:18" x14ac:dyDescent="0.2">
      <c r="A13" s="86" t="s">
        <v>106</v>
      </c>
    </row>
    <row r="14" spans="1:18" ht="16.5" customHeight="1" x14ac:dyDescent="0.2">
      <c r="A14" s="1" t="s">
        <v>74</v>
      </c>
      <c r="B14" s="75" t="s">
        <v>84</v>
      </c>
      <c r="C14" s="75" t="s">
        <v>85</v>
      </c>
      <c r="D14" s="75" t="s">
        <v>86</v>
      </c>
      <c r="E14" s="75" t="s">
        <v>87</v>
      </c>
      <c r="F14" s="75" t="s">
        <v>88</v>
      </c>
      <c r="G14" s="75" t="s">
        <v>89</v>
      </c>
      <c r="H14" s="75" t="s">
        <v>90</v>
      </c>
      <c r="I14" s="75" t="s">
        <v>91</v>
      </c>
      <c r="J14" s="75" t="s">
        <v>92</v>
      </c>
      <c r="K14" s="75" t="s">
        <v>93</v>
      </c>
      <c r="L14" s="75" t="s">
        <v>94</v>
      </c>
      <c r="M14" s="75" t="s">
        <v>95</v>
      </c>
      <c r="N14" s="75" t="s">
        <v>96</v>
      </c>
      <c r="O14" s="75" t="s">
        <v>97</v>
      </c>
      <c r="P14" s="75" t="s">
        <v>98</v>
      </c>
      <c r="Q14" s="75" t="s">
        <v>99</v>
      </c>
      <c r="R14" s="75" t="s">
        <v>100</v>
      </c>
    </row>
    <row r="15" spans="1:18" x14ac:dyDescent="0.2">
      <c r="A15" s="89">
        <v>9003</v>
      </c>
      <c r="B15" s="90"/>
      <c r="C15" s="90">
        <v>1437</v>
      </c>
      <c r="D15" s="90">
        <v>1445</v>
      </c>
      <c r="E15" s="90">
        <v>1449</v>
      </c>
      <c r="F15" s="90">
        <v>1448</v>
      </c>
      <c r="G15" s="90">
        <v>1447</v>
      </c>
      <c r="H15" s="90">
        <v>1445</v>
      </c>
      <c r="I15" s="90">
        <v>1443</v>
      </c>
      <c r="J15" s="90">
        <v>1442</v>
      </c>
      <c r="K15" s="90">
        <v>1440</v>
      </c>
      <c r="L15" s="90">
        <v>1438</v>
      </c>
      <c r="M15" s="90">
        <v>1437</v>
      </c>
      <c r="N15" s="90">
        <v>1435</v>
      </c>
      <c r="O15" s="90">
        <v>1435</v>
      </c>
      <c r="P15" s="90"/>
      <c r="Q15" s="90"/>
      <c r="R15" s="90"/>
    </row>
    <row r="16" spans="1:18" x14ac:dyDescent="0.2">
      <c r="A16" s="89">
        <v>9004</v>
      </c>
      <c r="B16" s="90">
        <v>1435</v>
      </c>
      <c r="C16" s="90">
        <v>1441</v>
      </c>
      <c r="D16" s="90">
        <v>1444</v>
      </c>
      <c r="E16" s="90">
        <v>1446</v>
      </c>
      <c r="F16" s="90">
        <v>1449</v>
      </c>
      <c r="G16" s="90">
        <v>1449</v>
      </c>
      <c r="H16" s="90">
        <v>1448</v>
      </c>
      <c r="I16" s="90">
        <v>1446</v>
      </c>
      <c r="J16" s="90">
        <v>1445</v>
      </c>
      <c r="K16" s="90">
        <v>1443</v>
      </c>
      <c r="L16" s="90">
        <v>1442</v>
      </c>
      <c r="M16" s="90">
        <v>1440</v>
      </c>
      <c r="N16" s="90">
        <v>1439</v>
      </c>
      <c r="O16" s="90">
        <v>1438</v>
      </c>
      <c r="P16" s="90">
        <v>1436</v>
      </c>
      <c r="Q16" s="90">
        <v>1435</v>
      </c>
      <c r="R16" s="90">
        <v>1435</v>
      </c>
    </row>
    <row r="17" spans="1:18" x14ac:dyDescent="0.2">
      <c r="A17" s="89">
        <v>9006</v>
      </c>
      <c r="B17" s="90">
        <v>1435</v>
      </c>
      <c r="C17" s="90">
        <v>1441</v>
      </c>
      <c r="D17" s="90">
        <v>1444</v>
      </c>
      <c r="E17" s="90">
        <v>1446</v>
      </c>
      <c r="F17" s="90">
        <v>1449</v>
      </c>
      <c r="G17" s="90">
        <v>1449</v>
      </c>
      <c r="H17" s="90">
        <v>1448</v>
      </c>
      <c r="I17" s="90">
        <v>1446</v>
      </c>
      <c r="J17" s="90">
        <v>1445</v>
      </c>
      <c r="K17" s="90">
        <v>1443</v>
      </c>
      <c r="L17" s="90">
        <v>1442</v>
      </c>
      <c r="M17" s="90">
        <v>1440</v>
      </c>
      <c r="N17" s="90">
        <v>1439</v>
      </c>
      <c r="O17" s="90">
        <v>1438</v>
      </c>
      <c r="P17" s="90">
        <v>1436</v>
      </c>
      <c r="Q17" s="90">
        <v>1435</v>
      </c>
      <c r="R17" s="90">
        <v>1435</v>
      </c>
    </row>
    <row r="19" spans="1:18" x14ac:dyDescent="0.2">
      <c r="A19" s="86" t="s">
        <v>107</v>
      </c>
    </row>
    <row r="20" spans="1:18" x14ac:dyDescent="0.2">
      <c r="A20" s="1" t="s">
        <v>74</v>
      </c>
      <c r="B20" s="75" t="s">
        <v>134</v>
      </c>
      <c r="C20" s="75" t="s">
        <v>135</v>
      </c>
      <c r="D20" s="75" t="s">
        <v>136</v>
      </c>
      <c r="E20" s="75" t="s">
        <v>137</v>
      </c>
      <c r="F20" s="75" t="s">
        <v>138</v>
      </c>
      <c r="G20" s="75" t="s">
        <v>139</v>
      </c>
      <c r="H20" s="75" t="s">
        <v>140</v>
      </c>
      <c r="I20" s="75" t="s">
        <v>141</v>
      </c>
      <c r="J20" s="75" t="s">
        <v>142</v>
      </c>
      <c r="K20" s="75" t="s">
        <v>143</v>
      </c>
      <c r="L20" s="75" t="s">
        <v>144</v>
      </c>
      <c r="M20" s="75" t="s">
        <v>145</v>
      </c>
      <c r="N20" s="75" t="s">
        <v>146</v>
      </c>
      <c r="O20" s="75" t="s">
        <v>147</v>
      </c>
      <c r="P20" s="75" t="s">
        <v>148</v>
      </c>
    </row>
    <row r="21" spans="1:18" x14ac:dyDescent="0.2">
      <c r="A21" s="89">
        <v>9003</v>
      </c>
      <c r="B21" s="90">
        <v>1445</v>
      </c>
      <c r="C21" s="90">
        <v>1449</v>
      </c>
      <c r="D21" s="90">
        <v>1448</v>
      </c>
      <c r="E21" s="90">
        <v>1447</v>
      </c>
      <c r="F21" s="90">
        <v>1445</v>
      </c>
      <c r="G21" s="90">
        <v>1443</v>
      </c>
      <c r="H21" s="90">
        <v>1442</v>
      </c>
      <c r="I21" s="90">
        <v>1440</v>
      </c>
      <c r="J21" s="90">
        <v>1438</v>
      </c>
      <c r="K21" s="90">
        <v>1437</v>
      </c>
      <c r="L21" s="90">
        <v>1435</v>
      </c>
      <c r="M21" s="90">
        <v>1435</v>
      </c>
      <c r="N21" s="90"/>
      <c r="O21" s="90"/>
      <c r="P21" s="90"/>
    </row>
    <row r="22" spans="1:18" x14ac:dyDescent="0.2">
      <c r="A22" s="89">
        <v>9004</v>
      </c>
      <c r="B22" s="90">
        <v>1444</v>
      </c>
      <c r="C22" s="90">
        <v>1446</v>
      </c>
      <c r="D22" s="90">
        <v>1449</v>
      </c>
      <c r="E22" s="90">
        <v>1449</v>
      </c>
      <c r="F22" s="90">
        <v>1448</v>
      </c>
      <c r="G22" s="90">
        <v>1446</v>
      </c>
      <c r="H22" s="90">
        <v>1445</v>
      </c>
      <c r="I22" s="90">
        <v>1443</v>
      </c>
      <c r="J22" s="90">
        <v>1442</v>
      </c>
      <c r="K22" s="90">
        <v>1440</v>
      </c>
      <c r="L22" s="90">
        <v>1439</v>
      </c>
      <c r="M22" s="90">
        <v>1438</v>
      </c>
      <c r="N22" s="90">
        <v>1436</v>
      </c>
      <c r="O22" s="90">
        <v>1435</v>
      </c>
      <c r="P22" s="90">
        <v>1435</v>
      </c>
    </row>
    <row r="23" spans="1:18" x14ac:dyDescent="0.2">
      <c r="A23" s="89">
        <v>9006</v>
      </c>
      <c r="B23" s="90">
        <v>1444</v>
      </c>
      <c r="C23" s="90">
        <v>1446</v>
      </c>
      <c r="D23" s="90">
        <v>1449</v>
      </c>
      <c r="E23" s="90">
        <v>1449</v>
      </c>
      <c r="F23" s="90">
        <v>1448</v>
      </c>
      <c r="G23" s="90">
        <v>1446</v>
      </c>
      <c r="H23" s="90">
        <v>1445</v>
      </c>
      <c r="I23" s="90">
        <v>1443</v>
      </c>
      <c r="J23" s="90">
        <v>1442</v>
      </c>
      <c r="K23" s="90">
        <v>1440</v>
      </c>
      <c r="L23" s="90">
        <v>1439</v>
      </c>
      <c r="M23" s="90">
        <v>1438</v>
      </c>
      <c r="N23" s="90">
        <v>1436</v>
      </c>
      <c r="O23" s="90">
        <v>1435</v>
      </c>
      <c r="P23" s="90">
        <v>1435</v>
      </c>
    </row>
    <row r="25" spans="1:18" x14ac:dyDescent="0.2">
      <c r="A25" s="86" t="s">
        <v>150</v>
      </c>
    </row>
    <row r="26" spans="1:18" x14ac:dyDescent="0.2">
      <c r="A26" s="1" t="s">
        <v>74</v>
      </c>
      <c r="B26" s="75" t="s">
        <v>84</v>
      </c>
      <c r="C26" s="75" t="s">
        <v>85</v>
      </c>
      <c r="D26" s="75" t="s">
        <v>86</v>
      </c>
      <c r="E26" s="75" t="s">
        <v>87</v>
      </c>
      <c r="F26" s="75" t="s">
        <v>88</v>
      </c>
      <c r="G26" s="75" t="s">
        <v>89</v>
      </c>
      <c r="H26" s="75" t="s">
        <v>90</v>
      </c>
      <c r="I26" s="75" t="s">
        <v>91</v>
      </c>
      <c r="J26" s="75" t="s">
        <v>92</v>
      </c>
      <c r="K26" s="75" t="s">
        <v>93</v>
      </c>
      <c r="L26" s="75" t="s">
        <v>94</v>
      </c>
      <c r="M26" s="75" t="s">
        <v>95</v>
      </c>
      <c r="N26" s="75" t="s">
        <v>96</v>
      </c>
      <c r="O26" s="75" t="s">
        <v>97</v>
      </c>
      <c r="P26" s="75" t="s">
        <v>98</v>
      </c>
      <c r="Q26" s="75" t="s">
        <v>99</v>
      </c>
      <c r="R26" s="75" t="s">
        <v>100</v>
      </c>
    </row>
    <row r="27" spans="1:18" x14ac:dyDescent="0.2">
      <c r="A27" s="89">
        <v>9003</v>
      </c>
      <c r="B27" s="91" t="s">
        <v>108</v>
      </c>
      <c r="C27" s="91" t="s">
        <v>109</v>
      </c>
      <c r="D27" s="91" t="s">
        <v>110</v>
      </c>
      <c r="E27" s="91" t="s">
        <v>111</v>
      </c>
      <c r="F27" s="91" t="s">
        <v>112</v>
      </c>
      <c r="G27" s="91" t="s">
        <v>113</v>
      </c>
      <c r="H27" s="91" t="s">
        <v>114</v>
      </c>
      <c r="I27" s="91" t="s">
        <v>115</v>
      </c>
      <c r="J27" s="91" t="s">
        <v>116</v>
      </c>
      <c r="K27" s="91" t="s">
        <v>117</v>
      </c>
      <c r="L27" s="91" t="s">
        <v>118</v>
      </c>
      <c r="M27" s="91" t="s">
        <v>119</v>
      </c>
      <c r="N27" s="91" t="s">
        <v>120</v>
      </c>
      <c r="O27" s="91" t="s">
        <v>121</v>
      </c>
      <c r="P27" s="91" t="s">
        <v>108</v>
      </c>
      <c r="Q27" s="91" t="s">
        <v>108</v>
      </c>
      <c r="R27" s="91" t="s">
        <v>108</v>
      </c>
    </row>
    <row r="28" spans="1:18" x14ac:dyDescent="0.2">
      <c r="A28" s="89">
        <v>9004</v>
      </c>
      <c r="B28" s="91" t="s">
        <v>109</v>
      </c>
      <c r="C28" s="91" t="s">
        <v>110</v>
      </c>
      <c r="D28" s="91" t="s">
        <v>111</v>
      </c>
      <c r="E28" s="91" t="s">
        <v>112</v>
      </c>
      <c r="F28" s="91" t="s">
        <v>113</v>
      </c>
      <c r="G28" s="91" t="s">
        <v>114</v>
      </c>
      <c r="H28" s="91" t="s">
        <v>115</v>
      </c>
      <c r="I28" s="91" t="s">
        <v>116</v>
      </c>
      <c r="J28" s="91" t="s">
        <v>117</v>
      </c>
      <c r="K28" s="91" t="s">
        <v>118</v>
      </c>
      <c r="L28" s="91" t="s">
        <v>119</v>
      </c>
      <c r="M28" s="91" t="s">
        <v>120</v>
      </c>
      <c r="N28" s="91" t="s">
        <v>121</v>
      </c>
      <c r="O28" s="91" t="s">
        <v>122</v>
      </c>
      <c r="P28" s="91" t="s">
        <v>123</v>
      </c>
      <c r="Q28" s="91" t="s">
        <v>124</v>
      </c>
      <c r="R28" s="91" t="s">
        <v>125</v>
      </c>
    </row>
    <row r="29" spans="1:18" x14ac:dyDescent="0.2">
      <c r="A29" s="89">
        <v>9006</v>
      </c>
      <c r="B29" s="91" t="s">
        <v>109</v>
      </c>
      <c r="C29" s="91" t="s">
        <v>110</v>
      </c>
      <c r="D29" s="91" t="s">
        <v>111</v>
      </c>
      <c r="E29" s="91" t="s">
        <v>112</v>
      </c>
      <c r="F29" s="91" t="s">
        <v>113</v>
      </c>
      <c r="G29" s="91" t="s">
        <v>114</v>
      </c>
      <c r="H29" s="91" t="s">
        <v>115</v>
      </c>
      <c r="I29" s="91" t="s">
        <v>116</v>
      </c>
      <c r="J29" s="91" t="s">
        <v>117</v>
      </c>
      <c r="K29" s="91" t="s">
        <v>118</v>
      </c>
      <c r="L29" s="91" t="s">
        <v>119</v>
      </c>
      <c r="M29" s="91" t="s">
        <v>120</v>
      </c>
      <c r="N29" s="91" t="s">
        <v>121</v>
      </c>
      <c r="O29" s="91" t="s">
        <v>122</v>
      </c>
      <c r="P29" s="91" t="s">
        <v>123</v>
      </c>
      <c r="Q29" s="91" t="s">
        <v>124</v>
      </c>
      <c r="R29" s="91" t="s">
        <v>125</v>
      </c>
    </row>
    <row r="31" spans="1:18" x14ac:dyDescent="0.2">
      <c r="A31" s="86" t="s">
        <v>151</v>
      </c>
    </row>
    <row r="32" spans="1:18" x14ac:dyDescent="0.2">
      <c r="A32" s="1" t="s">
        <v>74</v>
      </c>
      <c r="B32" s="75" t="s">
        <v>134</v>
      </c>
      <c r="C32" s="75" t="s">
        <v>135</v>
      </c>
      <c r="D32" s="75" t="s">
        <v>136</v>
      </c>
      <c r="E32" s="75" t="s">
        <v>137</v>
      </c>
      <c r="F32" s="75" t="s">
        <v>138</v>
      </c>
      <c r="G32" s="75" t="s">
        <v>139</v>
      </c>
      <c r="H32" s="75" t="s">
        <v>140</v>
      </c>
      <c r="I32" s="75" t="s">
        <v>141</v>
      </c>
      <c r="J32" s="75" t="s">
        <v>142</v>
      </c>
      <c r="K32" s="75" t="s">
        <v>143</v>
      </c>
      <c r="L32" s="75" t="s">
        <v>144</v>
      </c>
      <c r="M32" s="75" t="s">
        <v>145</v>
      </c>
      <c r="N32" s="75" t="s">
        <v>146</v>
      </c>
      <c r="O32" s="75" t="s">
        <v>147</v>
      </c>
      <c r="P32" s="75" t="s">
        <v>148</v>
      </c>
    </row>
    <row r="33" spans="1:16" x14ac:dyDescent="0.2">
      <c r="A33" s="89">
        <v>9003</v>
      </c>
      <c r="B33" s="91" t="s">
        <v>110</v>
      </c>
      <c r="C33" s="91" t="s">
        <v>111</v>
      </c>
      <c r="D33" s="91" t="s">
        <v>112</v>
      </c>
      <c r="E33" s="91" t="s">
        <v>113</v>
      </c>
      <c r="F33" s="91" t="s">
        <v>114</v>
      </c>
      <c r="G33" s="91" t="s">
        <v>115</v>
      </c>
      <c r="H33" s="91" t="s">
        <v>116</v>
      </c>
      <c r="I33" s="91" t="s">
        <v>117</v>
      </c>
      <c r="J33" s="91" t="s">
        <v>118</v>
      </c>
      <c r="K33" s="91" t="s">
        <v>119</v>
      </c>
      <c r="L33" s="91" t="s">
        <v>120</v>
      </c>
      <c r="M33" s="91" t="s">
        <v>121</v>
      </c>
      <c r="N33" s="91" t="s">
        <v>108</v>
      </c>
      <c r="O33" s="91" t="s">
        <v>108</v>
      </c>
      <c r="P33" s="91" t="s">
        <v>108</v>
      </c>
    </row>
    <row r="34" spans="1:16" x14ac:dyDescent="0.2">
      <c r="A34" s="89">
        <v>9004</v>
      </c>
      <c r="B34" s="91" t="s">
        <v>111</v>
      </c>
      <c r="C34" s="91" t="s">
        <v>112</v>
      </c>
      <c r="D34" s="91" t="s">
        <v>113</v>
      </c>
      <c r="E34" s="91" t="s">
        <v>114</v>
      </c>
      <c r="F34" s="91" t="s">
        <v>115</v>
      </c>
      <c r="G34" s="91" t="s">
        <v>116</v>
      </c>
      <c r="H34" s="91" t="s">
        <v>117</v>
      </c>
      <c r="I34" s="91" t="s">
        <v>118</v>
      </c>
      <c r="J34" s="91" t="s">
        <v>119</v>
      </c>
      <c r="K34" s="91" t="s">
        <v>120</v>
      </c>
      <c r="L34" s="91" t="s">
        <v>121</v>
      </c>
      <c r="M34" s="91" t="s">
        <v>122</v>
      </c>
      <c r="N34" s="91" t="s">
        <v>123</v>
      </c>
      <c r="O34" s="91" t="s">
        <v>124</v>
      </c>
      <c r="P34" s="91" t="s">
        <v>125</v>
      </c>
    </row>
    <row r="35" spans="1:16" x14ac:dyDescent="0.2">
      <c r="A35" s="89">
        <v>9006</v>
      </c>
      <c r="B35" s="91" t="s">
        <v>111</v>
      </c>
      <c r="C35" s="91" t="s">
        <v>112</v>
      </c>
      <c r="D35" s="91" t="s">
        <v>113</v>
      </c>
      <c r="E35" s="91" t="s">
        <v>114</v>
      </c>
      <c r="F35" s="91" t="s">
        <v>115</v>
      </c>
      <c r="G35" s="91" t="s">
        <v>116</v>
      </c>
      <c r="H35" s="91" t="s">
        <v>117</v>
      </c>
      <c r="I35" s="91" t="s">
        <v>118</v>
      </c>
      <c r="J35" s="91" t="s">
        <v>119</v>
      </c>
      <c r="K35" s="91" t="s">
        <v>120</v>
      </c>
      <c r="L35" s="91" t="s">
        <v>121</v>
      </c>
      <c r="M35" s="91" t="s">
        <v>122</v>
      </c>
      <c r="N35" s="91" t="s">
        <v>123</v>
      </c>
      <c r="O35" s="91" t="s">
        <v>124</v>
      </c>
      <c r="P35" s="91" t="s">
        <v>125</v>
      </c>
    </row>
    <row r="37" spans="1:16" x14ac:dyDescent="0.2">
      <c r="A37" s="86" t="s">
        <v>226</v>
      </c>
    </row>
    <row r="38" spans="1:16" ht="120" x14ac:dyDescent="0.2">
      <c r="A38" s="89" t="s">
        <v>74</v>
      </c>
      <c r="B38" s="134" t="s">
        <v>239</v>
      </c>
      <c r="C38" s="134" t="s">
        <v>240</v>
      </c>
      <c r="D38" s="134" t="s">
        <v>241</v>
      </c>
      <c r="E38" s="134" t="s">
        <v>242</v>
      </c>
      <c r="F38" s="134" t="s">
        <v>243</v>
      </c>
      <c r="G38" s="134" t="s">
        <v>244</v>
      </c>
      <c r="H38" s="134" t="s">
        <v>245</v>
      </c>
      <c r="I38" s="134" t="s">
        <v>246</v>
      </c>
    </row>
    <row r="39" spans="1:16" x14ac:dyDescent="0.2">
      <c r="A39" s="89">
        <v>9003</v>
      </c>
      <c r="B39" s="91" t="s">
        <v>227</v>
      </c>
      <c r="C39" s="91" t="s">
        <v>228</v>
      </c>
      <c r="D39" s="91" t="s">
        <v>229</v>
      </c>
      <c r="E39" s="91" t="s">
        <v>230</v>
      </c>
      <c r="F39" s="91" t="s">
        <v>116</v>
      </c>
      <c r="G39" s="91" t="s">
        <v>231</v>
      </c>
      <c r="H39" s="91" t="s">
        <v>108</v>
      </c>
      <c r="I39" s="91" t="s">
        <v>108</v>
      </c>
    </row>
    <row r="40" spans="1:16" x14ac:dyDescent="0.2">
      <c r="A40" s="89">
        <v>9004</v>
      </c>
      <c r="B40" s="91" t="s">
        <v>232</v>
      </c>
      <c r="C40" s="91" t="s">
        <v>233</v>
      </c>
      <c r="D40" s="91" t="s">
        <v>234</v>
      </c>
      <c r="E40" s="91" t="s">
        <v>235</v>
      </c>
      <c r="F40" s="91" t="s">
        <v>117</v>
      </c>
      <c r="G40" s="91" t="s">
        <v>236</v>
      </c>
      <c r="H40" s="91" t="s">
        <v>237</v>
      </c>
      <c r="I40" s="91" t="s">
        <v>238</v>
      </c>
    </row>
    <row r="41" spans="1:16" x14ac:dyDescent="0.2">
      <c r="A41" s="89">
        <v>9006</v>
      </c>
      <c r="B41" s="91" t="s">
        <v>232</v>
      </c>
      <c r="C41" s="91" t="s">
        <v>233</v>
      </c>
      <c r="D41" s="91" t="s">
        <v>234</v>
      </c>
      <c r="E41" s="91" t="s">
        <v>235</v>
      </c>
      <c r="F41" s="91" t="s">
        <v>117</v>
      </c>
      <c r="G41" s="91" t="s">
        <v>236</v>
      </c>
      <c r="H41" s="91" t="s">
        <v>237</v>
      </c>
      <c r="I41" s="91" t="s">
        <v>238</v>
      </c>
    </row>
  </sheetData>
  <pageMargins left="0.25" right="0.25" top="0.75" bottom="0.75" header="0.3" footer="0.3"/>
  <pageSetup paperSize="9" scale="84" orientation="landscape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P53"/>
  <sheetViews>
    <sheetView topLeftCell="A16" zoomScaleNormal="100" workbookViewId="0">
      <selection activeCell="C51" sqref="C51:C53"/>
    </sheetView>
  </sheetViews>
  <sheetFormatPr defaultRowHeight="12" x14ac:dyDescent="0.2"/>
  <cols>
    <col min="1" max="1" width="16.28515625" style="1" customWidth="1"/>
    <col min="2" max="2" width="22.140625" style="1" customWidth="1"/>
    <col min="3" max="3" width="15.42578125" style="1" customWidth="1"/>
    <col min="4" max="4" width="12.28515625" style="1" customWidth="1"/>
    <col min="5" max="5" width="15.7109375" style="1" customWidth="1"/>
    <col min="6" max="16384" width="9.140625" style="1"/>
  </cols>
  <sheetData>
    <row r="1" spans="1:16" x14ac:dyDescent="0.2">
      <c r="A1" s="86" t="s">
        <v>101</v>
      </c>
    </row>
    <row r="2" spans="1:16" x14ac:dyDescent="0.2">
      <c r="A2" s="1" t="s">
        <v>47</v>
      </c>
      <c r="B2" s="75" t="s">
        <v>56</v>
      </c>
      <c r="C2" s="75" t="s">
        <v>57</v>
      </c>
      <c r="D2" s="75" t="s">
        <v>59</v>
      </c>
      <c r="E2" s="75" t="s">
        <v>58</v>
      </c>
      <c r="F2" s="75" t="s">
        <v>60</v>
      </c>
      <c r="G2" s="75" t="s">
        <v>61</v>
      </c>
      <c r="H2" s="75" t="s">
        <v>62</v>
      </c>
      <c r="I2" s="75" t="s">
        <v>63</v>
      </c>
      <c r="J2" s="75" t="s">
        <v>64</v>
      </c>
      <c r="K2" s="75" t="s">
        <v>65</v>
      </c>
      <c r="L2" s="75" t="s">
        <v>66</v>
      </c>
      <c r="M2" s="75" t="s">
        <v>68</v>
      </c>
      <c r="N2" s="75" t="s">
        <v>70</v>
      </c>
      <c r="O2" s="75" t="s">
        <v>67</v>
      </c>
      <c r="P2" s="75" t="s">
        <v>69</v>
      </c>
    </row>
    <row r="3" spans="1:16" x14ac:dyDescent="0.2">
      <c r="A3" s="1" t="s">
        <v>48</v>
      </c>
      <c r="B3" s="75">
        <v>15</v>
      </c>
      <c r="C3" s="75"/>
      <c r="D3" s="75"/>
      <c r="E3" s="75">
        <v>1378</v>
      </c>
      <c r="F3" s="75">
        <v>1378</v>
      </c>
      <c r="G3" s="75">
        <v>15</v>
      </c>
      <c r="H3" s="75">
        <v>15</v>
      </c>
      <c r="I3" s="75">
        <v>15</v>
      </c>
      <c r="J3" s="75">
        <v>15</v>
      </c>
      <c r="K3" s="75">
        <v>15</v>
      </c>
      <c r="L3" s="75">
        <v>15</v>
      </c>
      <c r="M3" s="75">
        <v>10</v>
      </c>
      <c r="N3" s="75">
        <v>10</v>
      </c>
      <c r="O3" s="75"/>
      <c r="P3" s="75"/>
    </row>
    <row r="4" spans="1:16" x14ac:dyDescent="0.2">
      <c r="A4" s="1" t="s">
        <v>49</v>
      </c>
      <c r="B4" s="75">
        <v>10</v>
      </c>
      <c r="C4" s="75"/>
      <c r="D4" s="75"/>
      <c r="E4" s="75">
        <v>1378</v>
      </c>
      <c r="F4" s="75">
        <v>1378</v>
      </c>
      <c r="G4" s="75">
        <v>10</v>
      </c>
      <c r="H4" s="75">
        <v>10</v>
      </c>
      <c r="I4" s="75">
        <v>10</v>
      </c>
      <c r="J4" s="75">
        <v>10</v>
      </c>
      <c r="K4" s="75">
        <v>10</v>
      </c>
      <c r="L4" s="75">
        <v>10</v>
      </c>
      <c r="M4" s="75">
        <v>6</v>
      </c>
      <c r="N4" s="75">
        <v>6</v>
      </c>
      <c r="O4" s="75"/>
      <c r="P4" s="75"/>
    </row>
    <row r="5" spans="1:16" x14ac:dyDescent="0.2">
      <c r="A5" s="1" t="s">
        <v>50</v>
      </c>
      <c r="B5" s="75">
        <v>8</v>
      </c>
      <c r="C5" s="75"/>
      <c r="D5" s="75"/>
      <c r="E5" s="75">
        <v>1378</v>
      </c>
      <c r="F5" s="75">
        <v>1378</v>
      </c>
      <c r="G5" s="75">
        <v>8</v>
      </c>
      <c r="H5" s="75">
        <v>8</v>
      </c>
      <c r="I5" s="75">
        <v>8</v>
      </c>
      <c r="J5" s="75">
        <v>8</v>
      </c>
      <c r="K5" s="75">
        <v>8</v>
      </c>
      <c r="L5" s="75">
        <v>8</v>
      </c>
      <c r="M5" s="75">
        <v>5</v>
      </c>
      <c r="N5" s="75">
        <v>5</v>
      </c>
      <c r="O5" s="75"/>
      <c r="P5" s="75"/>
    </row>
    <row r="7" spans="1:16" x14ac:dyDescent="0.2">
      <c r="A7" s="86" t="s">
        <v>102</v>
      </c>
    </row>
    <row r="8" spans="1:16" x14ac:dyDescent="0.2">
      <c r="A8" s="1" t="s">
        <v>47</v>
      </c>
      <c r="B8" s="75" t="s">
        <v>56</v>
      </c>
      <c r="C8" s="75" t="s">
        <v>57</v>
      </c>
      <c r="D8" s="75" t="s">
        <v>59</v>
      </c>
      <c r="E8" s="75" t="s">
        <v>58</v>
      </c>
      <c r="F8" s="75" t="s">
        <v>60</v>
      </c>
      <c r="G8" s="75" t="s">
        <v>61</v>
      </c>
      <c r="H8" s="75" t="s">
        <v>62</v>
      </c>
      <c r="I8" s="75" t="s">
        <v>63</v>
      </c>
      <c r="J8" s="75" t="s">
        <v>64</v>
      </c>
      <c r="K8" s="75" t="s">
        <v>65</v>
      </c>
      <c r="L8" s="75" t="s">
        <v>66</v>
      </c>
      <c r="M8" s="75" t="s">
        <v>68</v>
      </c>
      <c r="N8" s="75" t="s">
        <v>70</v>
      </c>
      <c r="O8" s="75" t="s">
        <v>67</v>
      </c>
      <c r="P8" s="75" t="s">
        <v>69</v>
      </c>
    </row>
    <row r="9" spans="1:16" x14ac:dyDescent="0.2">
      <c r="A9" s="1" t="s">
        <v>48</v>
      </c>
      <c r="B9" s="75">
        <v>-4</v>
      </c>
      <c r="C9" s="75">
        <v>60</v>
      </c>
      <c r="D9" s="75">
        <v>60</v>
      </c>
      <c r="E9" s="75"/>
      <c r="F9" s="75"/>
      <c r="G9" s="75">
        <v>-4</v>
      </c>
      <c r="H9" s="75">
        <v>-4</v>
      </c>
      <c r="I9" s="75">
        <v>-4</v>
      </c>
      <c r="J9" s="75">
        <v>-4</v>
      </c>
      <c r="K9" s="75">
        <v>-4</v>
      </c>
      <c r="L9" s="75">
        <v>-4</v>
      </c>
      <c r="M9" s="75">
        <v>-3</v>
      </c>
      <c r="N9" s="75">
        <v>-3</v>
      </c>
      <c r="O9" s="75">
        <v>60</v>
      </c>
      <c r="P9" s="75">
        <v>60</v>
      </c>
    </row>
    <row r="10" spans="1:16" x14ac:dyDescent="0.2">
      <c r="A10" s="1" t="s">
        <v>49</v>
      </c>
      <c r="B10" s="75">
        <v>-4</v>
      </c>
      <c r="C10" s="75">
        <v>60</v>
      </c>
      <c r="D10" s="75">
        <v>60</v>
      </c>
      <c r="E10" s="75"/>
      <c r="F10" s="75"/>
      <c r="G10" s="75">
        <v>-4</v>
      </c>
      <c r="H10" s="75">
        <v>-4</v>
      </c>
      <c r="I10" s="75">
        <v>-4</v>
      </c>
      <c r="J10" s="75">
        <v>-4</v>
      </c>
      <c r="K10" s="75">
        <v>-4</v>
      </c>
      <c r="L10" s="75">
        <v>-4</v>
      </c>
      <c r="M10" s="75">
        <v>-2</v>
      </c>
      <c r="N10" s="75">
        <v>-2</v>
      </c>
      <c r="O10" s="75">
        <v>60</v>
      </c>
      <c r="P10" s="75">
        <v>60</v>
      </c>
    </row>
    <row r="11" spans="1:16" x14ac:dyDescent="0.2">
      <c r="A11" s="1" t="s">
        <v>50</v>
      </c>
      <c r="B11" s="75">
        <v>-3</v>
      </c>
      <c r="C11" s="75">
        <v>60</v>
      </c>
      <c r="D11" s="75">
        <v>60</v>
      </c>
      <c r="E11" s="75"/>
      <c r="F11" s="75"/>
      <c r="G11" s="75">
        <v>-3</v>
      </c>
      <c r="H11" s="75">
        <v>-3</v>
      </c>
      <c r="I11" s="75">
        <v>-3</v>
      </c>
      <c r="J11" s="75">
        <v>-3</v>
      </c>
      <c r="K11" s="75">
        <v>-3</v>
      </c>
      <c r="L11" s="75">
        <v>-3</v>
      </c>
      <c r="M11" s="75">
        <v>-2</v>
      </c>
      <c r="N11" s="75">
        <v>-2</v>
      </c>
      <c r="O11" s="75">
        <v>60</v>
      </c>
      <c r="P11" s="75">
        <v>60</v>
      </c>
    </row>
    <row r="13" spans="1:16" x14ac:dyDescent="0.2">
      <c r="A13" s="86" t="s">
        <v>103</v>
      </c>
    </row>
    <row r="14" spans="1:16" x14ac:dyDescent="0.2">
      <c r="A14" s="1" t="s">
        <v>47</v>
      </c>
      <c r="B14" s="75" t="s">
        <v>56</v>
      </c>
      <c r="C14" s="75" t="s">
        <v>57</v>
      </c>
      <c r="D14" s="75" t="s">
        <v>59</v>
      </c>
      <c r="E14" s="75" t="s">
        <v>58</v>
      </c>
      <c r="F14" s="75" t="s">
        <v>60</v>
      </c>
      <c r="G14" s="75" t="s">
        <v>61</v>
      </c>
      <c r="H14" s="75" t="s">
        <v>62</v>
      </c>
      <c r="I14" s="75" t="s">
        <v>63</v>
      </c>
      <c r="J14" s="75" t="s">
        <v>64</v>
      </c>
      <c r="K14" s="75" t="s">
        <v>65</v>
      </c>
      <c r="L14" s="75" t="s">
        <v>66</v>
      </c>
      <c r="M14" s="75" t="s">
        <v>68</v>
      </c>
      <c r="N14" s="75" t="s">
        <v>70</v>
      </c>
      <c r="O14" s="75" t="s">
        <v>67</v>
      </c>
      <c r="P14" s="75" t="s">
        <v>69</v>
      </c>
    </row>
    <row r="15" spans="1:16" x14ac:dyDescent="0.2">
      <c r="A15" s="1" t="s">
        <v>48</v>
      </c>
      <c r="B15" s="75">
        <v>20</v>
      </c>
      <c r="C15" s="75"/>
      <c r="D15" s="75"/>
      <c r="E15" s="75">
        <v>1380</v>
      </c>
      <c r="F15" s="75">
        <v>1380</v>
      </c>
      <c r="G15" s="75">
        <v>20</v>
      </c>
      <c r="H15" s="75">
        <v>20</v>
      </c>
      <c r="I15" s="75">
        <v>20</v>
      </c>
      <c r="J15" s="75">
        <v>20</v>
      </c>
      <c r="K15" s="75">
        <v>20</v>
      </c>
      <c r="L15" s="75">
        <v>20</v>
      </c>
      <c r="M15" s="75">
        <v>10</v>
      </c>
      <c r="N15" s="75">
        <v>10</v>
      </c>
      <c r="O15" s="75"/>
      <c r="P15" s="75"/>
    </row>
    <row r="16" spans="1:16" x14ac:dyDescent="0.2">
      <c r="A16" s="1" t="s">
        <v>49</v>
      </c>
      <c r="B16" s="75">
        <v>13</v>
      </c>
      <c r="C16" s="75"/>
      <c r="D16" s="75"/>
      <c r="E16" s="75">
        <v>1380</v>
      </c>
      <c r="F16" s="75">
        <v>1380</v>
      </c>
      <c r="G16" s="75">
        <v>13</v>
      </c>
      <c r="H16" s="75">
        <v>13</v>
      </c>
      <c r="I16" s="75">
        <v>13</v>
      </c>
      <c r="J16" s="75">
        <v>13</v>
      </c>
      <c r="K16" s="75">
        <v>13</v>
      </c>
      <c r="L16" s="75">
        <v>13</v>
      </c>
      <c r="M16" s="75">
        <v>8</v>
      </c>
      <c r="N16" s="75">
        <v>8</v>
      </c>
      <c r="O16" s="75"/>
      <c r="P16" s="75"/>
    </row>
    <row r="17" spans="1:16" x14ac:dyDescent="0.2">
      <c r="A17" s="1" t="s">
        <v>50</v>
      </c>
      <c r="B17" s="75">
        <v>10</v>
      </c>
      <c r="C17" s="75"/>
      <c r="D17" s="75"/>
      <c r="E17" s="75">
        <v>1380</v>
      </c>
      <c r="F17" s="75">
        <v>1380</v>
      </c>
      <c r="G17" s="75">
        <v>10</v>
      </c>
      <c r="H17" s="75">
        <v>10</v>
      </c>
      <c r="I17" s="75">
        <v>10</v>
      </c>
      <c r="J17" s="75">
        <v>10</v>
      </c>
      <c r="K17" s="75">
        <v>10</v>
      </c>
      <c r="L17" s="75">
        <v>10</v>
      </c>
      <c r="M17" s="75">
        <v>6</v>
      </c>
      <c r="N17" s="75">
        <v>6</v>
      </c>
      <c r="O17" s="75"/>
      <c r="P17" s="75"/>
    </row>
    <row r="19" spans="1:16" x14ac:dyDescent="0.2">
      <c r="A19" s="86" t="s">
        <v>104</v>
      </c>
    </row>
    <row r="20" spans="1:16" x14ac:dyDescent="0.2">
      <c r="A20" s="1" t="s">
        <v>47</v>
      </c>
      <c r="B20" s="75" t="s">
        <v>56</v>
      </c>
      <c r="C20" s="75" t="s">
        <v>57</v>
      </c>
      <c r="D20" s="75" t="s">
        <v>59</v>
      </c>
      <c r="E20" s="75" t="s">
        <v>58</v>
      </c>
      <c r="F20" s="75" t="s">
        <v>60</v>
      </c>
      <c r="G20" s="75" t="s">
        <v>61</v>
      </c>
      <c r="H20" s="75" t="s">
        <v>62</v>
      </c>
      <c r="I20" s="75" t="s">
        <v>63</v>
      </c>
      <c r="J20" s="75" t="s">
        <v>64</v>
      </c>
      <c r="K20" s="75" t="s">
        <v>65</v>
      </c>
      <c r="L20" s="75" t="s">
        <v>66</v>
      </c>
      <c r="M20" s="75" t="s">
        <v>68</v>
      </c>
      <c r="N20" s="75" t="s">
        <v>70</v>
      </c>
      <c r="O20" s="75" t="s">
        <v>67</v>
      </c>
      <c r="P20" s="75" t="s">
        <v>69</v>
      </c>
    </row>
    <row r="21" spans="1:16" x14ac:dyDescent="0.2">
      <c r="A21" s="1" t="s">
        <v>48</v>
      </c>
      <c r="B21" s="75">
        <v>-5</v>
      </c>
      <c r="C21" s="75">
        <v>58</v>
      </c>
      <c r="D21" s="75">
        <v>58</v>
      </c>
      <c r="E21" s="75"/>
      <c r="F21" s="75"/>
      <c r="G21" s="75">
        <v>-5</v>
      </c>
      <c r="H21" s="75">
        <v>-5</v>
      </c>
      <c r="I21" s="75">
        <v>-5</v>
      </c>
      <c r="J21" s="75">
        <v>-5</v>
      </c>
      <c r="K21" s="75">
        <v>-5</v>
      </c>
      <c r="L21" s="75">
        <v>-5</v>
      </c>
      <c r="M21" s="75">
        <v>-5</v>
      </c>
      <c r="N21" s="75">
        <v>-5</v>
      </c>
      <c r="O21" s="75">
        <v>60</v>
      </c>
      <c r="P21" s="75">
        <v>60</v>
      </c>
    </row>
    <row r="22" spans="1:16" x14ac:dyDescent="0.2">
      <c r="A22" s="1" t="s">
        <v>49</v>
      </c>
      <c r="B22" s="75">
        <v>-4</v>
      </c>
      <c r="C22" s="75">
        <v>58</v>
      </c>
      <c r="D22" s="75">
        <v>58</v>
      </c>
      <c r="E22" s="75"/>
      <c r="F22" s="75"/>
      <c r="G22" s="75">
        <v>-4</v>
      </c>
      <c r="H22" s="75">
        <v>-4</v>
      </c>
      <c r="I22" s="75">
        <v>-4</v>
      </c>
      <c r="J22" s="75">
        <v>-4</v>
      </c>
      <c r="K22" s="75">
        <v>-4</v>
      </c>
      <c r="L22" s="75">
        <v>-4</v>
      </c>
      <c r="M22" s="75">
        <v>-4</v>
      </c>
      <c r="N22" s="75">
        <v>-4</v>
      </c>
      <c r="O22" s="75">
        <v>60</v>
      </c>
      <c r="P22" s="75">
        <v>60</v>
      </c>
    </row>
    <row r="23" spans="1:16" x14ac:dyDescent="0.2">
      <c r="A23" s="1" t="s">
        <v>50</v>
      </c>
      <c r="B23" s="75">
        <v>-3</v>
      </c>
      <c r="C23" s="75">
        <v>58</v>
      </c>
      <c r="D23" s="75">
        <v>58</v>
      </c>
      <c r="E23" s="75"/>
      <c r="F23" s="75"/>
      <c r="G23" s="75">
        <v>-3</v>
      </c>
      <c r="H23" s="75">
        <v>-3</v>
      </c>
      <c r="I23" s="75">
        <v>-3</v>
      </c>
      <c r="J23" s="75">
        <v>-3</v>
      </c>
      <c r="K23" s="75">
        <v>-3</v>
      </c>
      <c r="L23" s="75">
        <v>-3</v>
      </c>
      <c r="M23" s="75">
        <v>-3</v>
      </c>
      <c r="N23" s="75">
        <v>-3</v>
      </c>
      <c r="O23" s="75">
        <v>60</v>
      </c>
      <c r="P23" s="75">
        <v>60</v>
      </c>
    </row>
    <row r="25" spans="1:16" x14ac:dyDescent="0.2">
      <c r="A25" s="86" t="s">
        <v>128</v>
      </c>
    </row>
    <row r="26" spans="1:16" x14ac:dyDescent="0.2">
      <c r="A26" s="1" t="s">
        <v>47</v>
      </c>
      <c r="B26" s="75" t="s">
        <v>129</v>
      </c>
      <c r="C26" s="75" t="s">
        <v>130</v>
      </c>
    </row>
    <row r="27" spans="1:16" x14ac:dyDescent="0.2">
      <c r="A27" s="1" t="s">
        <v>48</v>
      </c>
      <c r="B27" s="75">
        <v>15</v>
      </c>
      <c r="C27" s="75">
        <v>-4</v>
      </c>
      <c r="E27" s="1" t="s">
        <v>131</v>
      </c>
    </row>
    <row r="28" spans="1:16" x14ac:dyDescent="0.2">
      <c r="A28" s="1" t="s">
        <v>49</v>
      </c>
      <c r="B28" s="75">
        <v>10</v>
      </c>
      <c r="C28" s="75">
        <v>-4</v>
      </c>
      <c r="E28" s="1">
        <v>1460</v>
      </c>
    </row>
    <row r="29" spans="1:16" x14ac:dyDescent="0.2">
      <c r="A29" s="1" t="s">
        <v>50</v>
      </c>
      <c r="B29" s="75">
        <v>8</v>
      </c>
      <c r="C29" s="75">
        <v>-3</v>
      </c>
    </row>
    <row r="31" spans="1:16" x14ac:dyDescent="0.2">
      <c r="A31" s="86" t="s">
        <v>132</v>
      </c>
    </row>
    <row r="32" spans="1:16" x14ac:dyDescent="0.2">
      <c r="A32" s="1" t="s">
        <v>47</v>
      </c>
      <c r="B32" s="75" t="s">
        <v>129</v>
      </c>
      <c r="C32" s="75" t="s">
        <v>130</v>
      </c>
    </row>
    <row r="33" spans="1:5" x14ac:dyDescent="0.2">
      <c r="A33" s="1" t="s">
        <v>48</v>
      </c>
      <c r="B33" s="75">
        <v>20</v>
      </c>
      <c r="C33" s="75">
        <v>-5</v>
      </c>
      <c r="E33" s="1" t="s">
        <v>131</v>
      </c>
    </row>
    <row r="34" spans="1:5" x14ac:dyDescent="0.2">
      <c r="A34" s="1" t="s">
        <v>49</v>
      </c>
      <c r="B34" s="75">
        <v>13</v>
      </c>
      <c r="C34" s="75">
        <v>-4</v>
      </c>
      <c r="E34" s="1">
        <v>1463</v>
      </c>
    </row>
    <row r="35" spans="1:5" x14ac:dyDescent="0.2">
      <c r="A35" s="1" t="s">
        <v>50</v>
      </c>
      <c r="B35" s="75">
        <v>10</v>
      </c>
      <c r="C35" s="75">
        <v>-3</v>
      </c>
    </row>
    <row r="37" spans="1:5" x14ac:dyDescent="0.2">
      <c r="A37" s="86" t="s">
        <v>169</v>
      </c>
    </row>
    <row r="38" spans="1:5" x14ac:dyDescent="0.2">
      <c r="A38" s="1" t="s">
        <v>47</v>
      </c>
      <c r="B38" s="75" t="s">
        <v>129</v>
      </c>
    </row>
    <row r="39" spans="1:5" x14ac:dyDescent="0.2">
      <c r="A39" s="1" t="s">
        <v>48</v>
      </c>
      <c r="B39" s="75">
        <v>5</v>
      </c>
    </row>
    <row r="40" spans="1:5" x14ac:dyDescent="0.2">
      <c r="A40" s="1" t="s">
        <v>49</v>
      </c>
      <c r="B40" s="75">
        <v>4</v>
      </c>
    </row>
    <row r="41" spans="1:5" x14ac:dyDescent="0.2">
      <c r="A41" s="1" t="s">
        <v>50</v>
      </c>
      <c r="B41" s="75">
        <v>3</v>
      </c>
    </row>
    <row r="42" spans="1:5" x14ac:dyDescent="0.2">
      <c r="B42" s="75"/>
    </row>
    <row r="43" spans="1:5" x14ac:dyDescent="0.2">
      <c r="A43" s="86" t="s">
        <v>198</v>
      </c>
    </row>
    <row r="44" spans="1:5" x14ac:dyDescent="0.2">
      <c r="A44" s="1" t="s">
        <v>47</v>
      </c>
      <c r="B44" s="1" t="s">
        <v>197</v>
      </c>
      <c r="C44" s="1" t="s">
        <v>193</v>
      </c>
      <c r="D44" s="1" t="s">
        <v>192</v>
      </c>
      <c r="E44" s="1" t="s">
        <v>194</v>
      </c>
    </row>
    <row r="45" spans="1:5" x14ac:dyDescent="0.2">
      <c r="A45" s="87" t="s">
        <v>48</v>
      </c>
      <c r="B45" s="1">
        <v>9</v>
      </c>
      <c r="C45" s="1">
        <v>9</v>
      </c>
      <c r="D45" s="1">
        <v>18</v>
      </c>
      <c r="E45" s="1">
        <v>9</v>
      </c>
    </row>
    <row r="46" spans="1:5" x14ac:dyDescent="0.2">
      <c r="A46" s="1" t="s">
        <v>49</v>
      </c>
      <c r="B46" s="1">
        <v>9</v>
      </c>
      <c r="C46" s="1">
        <v>9</v>
      </c>
      <c r="D46" s="1">
        <v>18</v>
      </c>
      <c r="E46" s="1">
        <v>9</v>
      </c>
    </row>
    <row r="47" spans="1:5" ht="12.75" thickBot="1" x14ac:dyDescent="0.25">
      <c r="A47" s="88" t="s">
        <v>50</v>
      </c>
      <c r="B47" s="1">
        <v>6</v>
      </c>
      <c r="C47" s="1">
        <v>6</v>
      </c>
      <c r="D47" s="1">
        <v>12</v>
      </c>
      <c r="E47" s="1">
        <v>6</v>
      </c>
    </row>
    <row r="49" spans="1:3" x14ac:dyDescent="0.2">
      <c r="A49" s="86" t="s">
        <v>199</v>
      </c>
    </row>
    <row r="50" spans="1:3" ht="12.75" thickBot="1" x14ac:dyDescent="0.25">
      <c r="A50" s="108" t="s">
        <v>47</v>
      </c>
      <c r="B50" s="108" t="s">
        <v>259</v>
      </c>
      <c r="C50" s="108" t="s">
        <v>260</v>
      </c>
    </row>
    <row r="51" spans="1:3" x14ac:dyDescent="0.2">
      <c r="A51" s="87" t="s">
        <v>48</v>
      </c>
      <c r="B51" s="87">
        <v>12</v>
      </c>
      <c r="C51" s="1">
        <v>6</v>
      </c>
    </row>
    <row r="52" spans="1:3" x14ac:dyDescent="0.2">
      <c r="A52" s="1" t="s">
        <v>49</v>
      </c>
      <c r="B52" s="1">
        <v>12</v>
      </c>
      <c r="C52" s="1">
        <v>6</v>
      </c>
    </row>
    <row r="53" spans="1:3" x14ac:dyDescent="0.2">
      <c r="A53" s="109" t="s">
        <v>50</v>
      </c>
      <c r="B53" s="109">
        <v>6</v>
      </c>
      <c r="C53" s="1">
        <v>3</v>
      </c>
    </row>
  </sheetData>
  <pageMargins left="0.25" right="0.25" top="0.75" bottom="0.75" header="0.3" footer="0.3"/>
  <pageSetup paperSize="9" scale="88" orientation="landscape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B24"/>
  <sheetViews>
    <sheetView zoomScaleNormal="100" workbookViewId="0">
      <selection activeCell="E34" sqref="E34"/>
    </sheetView>
  </sheetViews>
  <sheetFormatPr defaultRowHeight="12" x14ac:dyDescent="0.2"/>
  <cols>
    <col min="1" max="1" width="11.140625" style="1" bestFit="1" customWidth="1"/>
    <col min="2" max="2" width="12.7109375" style="1" customWidth="1"/>
    <col min="3" max="3" width="14.28515625" style="1" bestFit="1" customWidth="1"/>
    <col min="4" max="4" width="9.5703125" style="1" bestFit="1" customWidth="1"/>
    <col min="5" max="5" width="12.140625" style="1" bestFit="1" customWidth="1"/>
    <col min="6" max="6" width="7" style="1" bestFit="1" customWidth="1"/>
    <col min="7" max="7" width="15.140625" style="1" bestFit="1" customWidth="1"/>
    <col min="8" max="8" width="9.7109375" style="1" bestFit="1" customWidth="1"/>
    <col min="9" max="9" width="12.7109375" style="1" bestFit="1" customWidth="1"/>
    <col min="10" max="10" width="18.28515625" style="1" bestFit="1" customWidth="1"/>
    <col min="11" max="11" width="9.28515625" style="1" bestFit="1" customWidth="1"/>
    <col min="12" max="12" width="11.28515625" style="1" bestFit="1" customWidth="1"/>
    <col min="13" max="13" width="11.140625" style="1" bestFit="1" customWidth="1"/>
    <col min="14" max="14" width="18" style="1" bestFit="1" customWidth="1"/>
    <col min="15" max="15" width="8.5703125" style="1" bestFit="1" customWidth="1"/>
    <col min="16" max="16" width="10.85546875" style="1" customWidth="1"/>
    <col min="17" max="17" width="13.140625" style="1" bestFit="1" customWidth="1"/>
    <col min="18" max="18" width="12" style="1" bestFit="1" customWidth="1"/>
    <col min="19" max="19" width="11.42578125" style="1" bestFit="1" customWidth="1"/>
    <col min="20" max="20" width="17.7109375" style="1" bestFit="1" customWidth="1"/>
    <col min="21" max="21" width="25.140625" style="1" bestFit="1" customWidth="1"/>
    <col min="22" max="22" width="24.28515625" style="1" bestFit="1" customWidth="1"/>
    <col min="23" max="23" width="15.85546875" style="1" bestFit="1" customWidth="1"/>
    <col min="24" max="24" width="15.140625" style="1" bestFit="1" customWidth="1"/>
    <col min="25" max="25" width="11.7109375" style="1" bestFit="1" customWidth="1"/>
    <col min="26" max="26" width="15.42578125" style="1" bestFit="1" customWidth="1"/>
    <col min="27" max="27" width="12.28515625" style="1" bestFit="1" customWidth="1"/>
    <col min="28" max="28" width="13.42578125" style="1" bestFit="1" customWidth="1"/>
    <col min="29" max="16384" width="9.140625" style="1"/>
  </cols>
  <sheetData>
    <row r="1" spans="1:28" x14ac:dyDescent="0.2">
      <c r="A1" s="1" t="s">
        <v>29</v>
      </c>
      <c r="B1" s="1" t="s">
        <v>24</v>
      </c>
      <c r="C1" s="1" t="s">
        <v>28</v>
      </c>
      <c r="D1" s="1" t="s">
        <v>8</v>
      </c>
      <c r="E1" s="1" t="s">
        <v>34</v>
      </c>
      <c r="F1" s="1" t="s">
        <v>26</v>
      </c>
      <c r="G1" s="1" t="s">
        <v>0</v>
      </c>
      <c r="H1" s="1" t="s">
        <v>30</v>
      </c>
      <c r="I1" s="1" t="s">
        <v>31</v>
      </c>
      <c r="J1" s="1" t="s">
        <v>3</v>
      </c>
      <c r="K1" s="1" t="s">
        <v>32</v>
      </c>
      <c r="L1" s="1" t="s">
        <v>5</v>
      </c>
      <c r="M1" s="1" t="s">
        <v>6</v>
      </c>
      <c r="N1" s="1" t="s">
        <v>33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35</v>
      </c>
      <c r="V1" s="1" t="s">
        <v>36</v>
      </c>
      <c r="W1" s="1" t="s">
        <v>37</v>
      </c>
      <c r="X1" s="1" t="s">
        <v>38</v>
      </c>
      <c r="Y1" s="1" t="s">
        <v>20</v>
      </c>
      <c r="Z1" s="1" t="s">
        <v>39</v>
      </c>
      <c r="AA1" s="1" t="s">
        <v>22</v>
      </c>
      <c r="AB1" s="1" t="s">
        <v>23</v>
      </c>
    </row>
    <row r="2" spans="1:28" x14ac:dyDescent="0.2">
      <c r="A2" s="1">
        <v>14526</v>
      </c>
      <c r="B2" s="1" t="s">
        <v>205</v>
      </c>
      <c r="C2" s="106" t="s">
        <v>160</v>
      </c>
      <c r="D2" s="1">
        <v>20</v>
      </c>
      <c r="E2" s="1">
        <v>20009</v>
      </c>
      <c r="F2" s="1">
        <v>9.0909999999999993</v>
      </c>
      <c r="G2" s="1" t="s">
        <v>221</v>
      </c>
      <c r="H2" s="124">
        <v>2</v>
      </c>
      <c r="I2" s="1" t="s">
        <v>40</v>
      </c>
      <c r="J2" s="106" t="s">
        <v>53</v>
      </c>
      <c r="K2" s="1">
        <v>1200</v>
      </c>
      <c r="L2" s="1" t="s">
        <v>159</v>
      </c>
      <c r="M2" s="1" t="s">
        <v>42</v>
      </c>
      <c r="N2" s="1" t="s">
        <v>206</v>
      </c>
      <c r="O2" s="1">
        <v>9003</v>
      </c>
      <c r="P2" s="1" t="s">
        <v>43</v>
      </c>
      <c r="Q2" s="1" t="s">
        <v>44</v>
      </c>
      <c r="R2" s="1" t="s">
        <v>45</v>
      </c>
      <c r="S2" s="1" t="s">
        <v>207</v>
      </c>
      <c r="T2" s="1" t="s">
        <v>46</v>
      </c>
      <c r="U2" s="1" t="s">
        <v>50</v>
      </c>
      <c r="V2" s="1" t="s">
        <v>49</v>
      </c>
      <c r="W2" s="1">
        <v>2016</v>
      </c>
      <c r="X2" s="1">
        <v>2016</v>
      </c>
      <c r="Y2" s="1" t="s">
        <v>51</v>
      </c>
      <c r="Z2" s="1" t="s">
        <v>208</v>
      </c>
      <c r="AA2" s="1" t="s">
        <v>52</v>
      </c>
      <c r="AB2" s="1">
        <v>2019</v>
      </c>
    </row>
    <row r="3" spans="1:28" x14ac:dyDescent="0.2">
      <c r="A3" s="1">
        <v>14528</v>
      </c>
      <c r="B3" s="1" t="s">
        <v>205</v>
      </c>
      <c r="C3" s="106" t="s">
        <v>209</v>
      </c>
      <c r="D3" s="1">
        <v>20</v>
      </c>
      <c r="E3" s="1">
        <v>20009</v>
      </c>
      <c r="F3" s="1">
        <v>9.1720000000000006</v>
      </c>
      <c r="G3" s="1" t="s">
        <v>221</v>
      </c>
      <c r="H3" s="124">
        <v>1</v>
      </c>
      <c r="I3" s="1" t="s">
        <v>40</v>
      </c>
      <c r="J3" s="106" t="s">
        <v>53</v>
      </c>
      <c r="K3" s="1">
        <v>1200</v>
      </c>
      <c r="L3" s="1" t="s">
        <v>159</v>
      </c>
      <c r="M3" s="1" t="s">
        <v>42</v>
      </c>
      <c r="N3" s="1" t="s">
        <v>206</v>
      </c>
      <c r="O3" s="1">
        <v>9003</v>
      </c>
      <c r="P3" s="1" t="s">
        <v>43</v>
      </c>
      <c r="Q3" s="1" t="s">
        <v>44</v>
      </c>
      <c r="R3" s="1" t="s">
        <v>45</v>
      </c>
      <c r="S3" s="1" t="s">
        <v>207</v>
      </c>
      <c r="T3" s="1" t="s">
        <v>46</v>
      </c>
      <c r="U3" s="1" t="s">
        <v>50</v>
      </c>
      <c r="V3" s="1" t="s">
        <v>49</v>
      </c>
      <c r="W3" s="1">
        <v>2016</v>
      </c>
      <c r="X3" s="1">
        <v>2016</v>
      </c>
      <c r="Y3" s="1" t="s">
        <v>51</v>
      </c>
      <c r="Z3" s="1" t="s">
        <v>208</v>
      </c>
      <c r="AA3" s="1" t="s">
        <v>52</v>
      </c>
      <c r="AB3" s="1">
        <v>2019</v>
      </c>
    </row>
    <row r="4" spans="1:28" x14ac:dyDescent="0.2">
      <c r="A4" s="1">
        <v>14532</v>
      </c>
      <c r="B4" s="1" t="s">
        <v>210</v>
      </c>
      <c r="C4" s="106" t="s">
        <v>160</v>
      </c>
      <c r="D4" s="1">
        <v>20</v>
      </c>
      <c r="E4" s="1">
        <v>20021</v>
      </c>
      <c r="F4" s="1">
        <v>20.866</v>
      </c>
      <c r="G4" s="1" t="s">
        <v>221</v>
      </c>
      <c r="H4" s="124">
        <v>2</v>
      </c>
      <c r="I4" s="1" t="s">
        <v>40</v>
      </c>
      <c r="J4" s="106" t="s">
        <v>55</v>
      </c>
      <c r="K4" s="1">
        <v>2500</v>
      </c>
      <c r="L4" s="1" t="s">
        <v>159</v>
      </c>
      <c r="M4" s="1" t="s">
        <v>42</v>
      </c>
      <c r="N4" s="1" t="s">
        <v>206</v>
      </c>
      <c r="O4" s="1">
        <v>9006</v>
      </c>
      <c r="P4" s="1" t="s">
        <v>43</v>
      </c>
      <c r="Q4" s="1" t="s">
        <v>44</v>
      </c>
      <c r="R4" s="1" t="s">
        <v>45</v>
      </c>
      <c r="S4" s="1" t="s">
        <v>207</v>
      </c>
      <c r="T4" s="1" t="s">
        <v>46</v>
      </c>
      <c r="U4" s="1" t="s">
        <v>50</v>
      </c>
      <c r="V4" s="1" t="s">
        <v>49</v>
      </c>
      <c r="W4" s="1">
        <v>2016</v>
      </c>
      <c r="X4" s="1">
        <v>2016</v>
      </c>
      <c r="Y4" s="1" t="s">
        <v>51</v>
      </c>
      <c r="Z4" s="1" t="s">
        <v>211</v>
      </c>
      <c r="AA4" s="1" t="s">
        <v>52</v>
      </c>
      <c r="AB4" s="1">
        <v>2019</v>
      </c>
    </row>
    <row r="5" spans="1:28" x14ac:dyDescent="0.2">
      <c r="A5" s="1">
        <v>14533</v>
      </c>
      <c r="B5" s="1" t="s">
        <v>210</v>
      </c>
      <c r="C5" s="106" t="s">
        <v>209</v>
      </c>
      <c r="D5" s="1">
        <v>20</v>
      </c>
      <c r="E5" s="1">
        <v>20021</v>
      </c>
      <c r="F5" s="1">
        <v>20.983000000000001</v>
      </c>
      <c r="G5" s="1" t="s">
        <v>221</v>
      </c>
      <c r="H5" s="124">
        <v>1</v>
      </c>
      <c r="I5" s="1" t="s">
        <v>40</v>
      </c>
      <c r="J5" s="106" t="s">
        <v>55</v>
      </c>
      <c r="K5" s="1">
        <v>2500</v>
      </c>
      <c r="L5" s="1" t="s">
        <v>159</v>
      </c>
      <c r="M5" s="1" t="s">
        <v>42</v>
      </c>
      <c r="N5" s="1" t="s">
        <v>206</v>
      </c>
      <c r="O5" s="1">
        <v>9006</v>
      </c>
      <c r="P5" s="1" t="s">
        <v>43</v>
      </c>
      <c r="Q5" s="1" t="s">
        <v>44</v>
      </c>
      <c r="R5" s="1" t="s">
        <v>45</v>
      </c>
      <c r="S5" s="1" t="s">
        <v>207</v>
      </c>
      <c r="T5" s="1" t="s">
        <v>46</v>
      </c>
      <c r="U5" s="1" t="s">
        <v>50</v>
      </c>
      <c r="V5" s="1" t="s">
        <v>49</v>
      </c>
      <c r="W5" s="1">
        <v>2016</v>
      </c>
      <c r="X5" s="1">
        <v>2016</v>
      </c>
      <c r="Y5" s="1" t="s">
        <v>51</v>
      </c>
      <c r="Z5" s="1" t="s">
        <v>211</v>
      </c>
      <c r="AA5" s="1" t="s">
        <v>52</v>
      </c>
      <c r="AB5" s="1">
        <v>2019</v>
      </c>
    </row>
    <row r="6" spans="1:28" x14ac:dyDescent="0.2">
      <c r="A6" s="1">
        <v>14534</v>
      </c>
      <c r="B6" s="1" t="s">
        <v>210</v>
      </c>
      <c r="C6" s="106" t="s">
        <v>212</v>
      </c>
      <c r="D6" s="1">
        <v>20</v>
      </c>
      <c r="E6" s="1">
        <v>20021</v>
      </c>
      <c r="F6" s="1">
        <v>22.388999999999999</v>
      </c>
      <c r="G6" s="1" t="s">
        <v>221</v>
      </c>
      <c r="H6" s="124">
        <v>1</v>
      </c>
      <c r="I6" s="1" t="s">
        <v>40</v>
      </c>
      <c r="J6" s="106" t="s">
        <v>55</v>
      </c>
      <c r="K6" s="1">
        <v>2500</v>
      </c>
      <c r="L6" s="1" t="s">
        <v>41</v>
      </c>
      <c r="M6" s="1" t="s">
        <v>42</v>
      </c>
      <c r="N6" s="1" t="s">
        <v>206</v>
      </c>
      <c r="O6" s="1">
        <v>9006</v>
      </c>
      <c r="P6" s="1" t="s">
        <v>43</v>
      </c>
      <c r="Q6" s="1" t="s">
        <v>44</v>
      </c>
      <c r="R6" s="1" t="s">
        <v>45</v>
      </c>
      <c r="S6" s="1" t="s">
        <v>207</v>
      </c>
      <c r="T6" s="1" t="s">
        <v>46</v>
      </c>
      <c r="U6" s="1" t="s">
        <v>50</v>
      </c>
      <c r="V6" s="1" t="s">
        <v>49</v>
      </c>
      <c r="W6" s="1">
        <v>2016</v>
      </c>
      <c r="X6" s="1">
        <v>2016</v>
      </c>
      <c r="Y6" s="1" t="s">
        <v>51</v>
      </c>
      <c r="Z6" s="1" t="s">
        <v>211</v>
      </c>
      <c r="AA6" s="1" t="s">
        <v>52</v>
      </c>
      <c r="AB6" s="1">
        <v>2019</v>
      </c>
    </row>
    <row r="7" spans="1:28" x14ac:dyDescent="0.2">
      <c r="A7" s="1">
        <v>14535</v>
      </c>
      <c r="B7" s="1" t="s">
        <v>210</v>
      </c>
      <c r="C7" s="106" t="s">
        <v>213</v>
      </c>
      <c r="D7" s="1">
        <v>20</v>
      </c>
      <c r="E7" s="1">
        <v>20021</v>
      </c>
      <c r="F7" s="1">
        <v>22.507000000000001</v>
      </c>
      <c r="G7" s="1" t="s">
        <v>221</v>
      </c>
      <c r="H7" s="124">
        <v>2</v>
      </c>
      <c r="I7" s="1" t="s">
        <v>40</v>
      </c>
      <c r="J7" s="106" t="s">
        <v>55</v>
      </c>
      <c r="K7" s="1">
        <v>2500</v>
      </c>
      <c r="L7" s="1" t="s">
        <v>41</v>
      </c>
      <c r="M7" s="1" t="s">
        <v>42</v>
      </c>
      <c r="N7" s="1" t="s">
        <v>206</v>
      </c>
      <c r="O7" s="1">
        <v>9006</v>
      </c>
      <c r="P7" s="1" t="s">
        <v>43</v>
      </c>
      <c r="Q7" s="1" t="s">
        <v>44</v>
      </c>
      <c r="R7" s="1" t="s">
        <v>45</v>
      </c>
      <c r="S7" s="1" t="s">
        <v>207</v>
      </c>
      <c r="T7" s="1" t="s">
        <v>46</v>
      </c>
      <c r="U7" s="1" t="s">
        <v>50</v>
      </c>
      <c r="V7" s="1" t="s">
        <v>49</v>
      </c>
      <c r="W7" s="1">
        <v>2016</v>
      </c>
      <c r="X7" s="1">
        <v>2016</v>
      </c>
      <c r="Y7" s="1" t="s">
        <v>51</v>
      </c>
      <c r="Z7" s="1" t="s">
        <v>211</v>
      </c>
      <c r="AA7" s="1" t="s">
        <v>52</v>
      </c>
      <c r="AB7" s="1">
        <v>2019</v>
      </c>
    </row>
    <row r="8" spans="1:28" x14ac:dyDescent="0.2">
      <c r="A8" s="1">
        <v>14540</v>
      </c>
      <c r="B8" s="1" t="s">
        <v>214</v>
      </c>
      <c r="C8" s="106" t="s">
        <v>160</v>
      </c>
      <c r="D8" s="1">
        <v>20</v>
      </c>
      <c r="E8" s="1">
        <v>20033</v>
      </c>
      <c r="F8" s="1">
        <v>32.012</v>
      </c>
      <c r="G8" s="1" t="s">
        <v>221</v>
      </c>
      <c r="H8" s="124">
        <v>1</v>
      </c>
      <c r="I8" s="1" t="s">
        <v>40</v>
      </c>
      <c r="J8" s="106" t="s">
        <v>55</v>
      </c>
      <c r="K8" s="1">
        <v>2500</v>
      </c>
      <c r="L8" s="1" t="s">
        <v>41</v>
      </c>
      <c r="M8" s="1" t="s">
        <v>42</v>
      </c>
      <c r="N8" s="1" t="s">
        <v>206</v>
      </c>
      <c r="O8" s="1">
        <v>9006</v>
      </c>
      <c r="P8" s="1" t="s">
        <v>43</v>
      </c>
      <c r="Q8" s="1" t="s">
        <v>44</v>
      </c>
      <c r="R8" s="1" t="s">
        <v>45</v>
      </c>
      <c r="S8" s="1" t="s">
        <v>207</v>
      </c>
      <c r="T8" s="1" t="s">
        <v>46</v>
      </c>
      <c r="U8" s="1" t="s">
        <v>50</v>
      </c>
      <c r="V8" s="1" t="s">
        <v>49</v>
      </c>
      <c r="W8" s="1">
        <v>2016</v>
      </c>
      <c r="X8" s="1">
        <v>2016</v>
      </c>
      <c r="Y8" s="1" t="s">
        <v>51</v>
      </c>
      <c r="Z8" s="1" t="s">
        <v>211</v>
      </c>
      <c r="AA8" s="1" t="s">
        <v>52</v>
      </c>
      <c r="AB8" s="1">
        <v>2019</v>
      </c>
    </row>
    <row r="9" spans="1:28" x14ac:dyDescent="0.2">
      <c r="A9" s="1">
        <v>14541</v>
      </c>
      <c r="B9" s="1" t="s">
        <v>214</v>
      </c>
      <c r="C9" s="106" t="s">
        <v>209</v>
      </c>
      <c r="D9" s="1">
        <v>20</v>
      </c>
      <c r="E9" s="1">
        <v>20033</v>
      </c>
      <c r="F9" s="1">
        <v>32.128999999999998</v>
      </c>
      <c r="G9" s="1" t="s">
        <v>221</v>
      </c>
      <c r="H9" s="124">
        <v>2</v>
      </c>
      <c r="I9" s="1" t="s">
        <v>40</v>
      </c>
      <c r="J9" s="106" t="s">
        <v>55</v>
      </c>
      <c r="K9" s="1">
        <v>2500</v>
      </c>
      <c r="L9" s="1" t="s">
        <v>41</v>
      </c>
      <c r="M9" s="1" t="s">
        <v>42</v>
      </c>
      <c r="N9" s="1" t="s">
        <v>206</v>
      </c>
      <c r="O9" s="1">
        <v>9006</v>
      </c>
      <c r="P9" s="1" t="s">
        <v>43</v>
      </c>
      <c r="Q9" s="1" t="s">
        <v>44</v>
      </c>
      <c r="R9" s="1" t="s">
        <v>45</v>
      </c>
      <c r="S9" s="1" t="s">
        <v>207</v>
      </c>
      <c r="T9" s="1" t="s">
        <v>46</v>
      </c>
      <c r="U9" s="1" t="s">
        <v>50</v>
      </c>
      <c r="V9" s="1" t="s">
        <v>49</v>
      </c>
      <c r="W9" s="1">
        <v>2016</v>
      </c>
      <c r="X9" s="1">
        <v>2016</v>
      </c>
      <c r="Y9" s="1" t="s">
        <v>51</v>
      </c>
      <c r="Z9" s="1" t="s">
        <v>211</v>
      </c>
      <c r="AA9" s="1" t="s">
        <v>52</v>
      </c>
      <c r="AB9" s="1">
        <v>2019</v>
      </c>
    </row>
    <row r="10" spans="1:28" x14ac:dyDescent="0.2">
      <c r="A10" s="1">
        <v>14542</v>
      </c>
      <c r="B10" s="1" t="s">
        <v>214</v>
      </c>
      <c r="C10" s="106" t="s">
        <v>212</v>
      </c>
      <c r="D10" s="1">
        <v>20</v>
      </c>
      <c r="E10" s="1">
        <v>20033</v>
      </c>
      <c r="F10" s="1">
        <v>33.417999999999999</v>
      </c>
      <c r="G10" s="1" t="s">
        <v>221</v>
      </c>
      <c r="H10" s="124">
        <v>2</v>
      </c>
      <c r="I10" s="1" t="s">
        <v>40</v>
      </c>
      <c r="J10" s="106" t="s">
        <v>53</v>
      </c>
      <c r="K10" s="1">
        <v>1200</v>
      </c>
      <c r="L10" s="1" t="s">
        <v>159</v>
      </c>
      <c r="M10" s="1" t="s">
        <v>42</v>
      </c>
      <c r="N10" s="1" t="s">
        <v>206</v>
      </c>
      <c r="O10" s="1">
        <v>9003</v>
      </c>
      <c r="P10" s="1" t="s">
        <v>43</v>
      </c>
      <c r="Q10" s="1" t="s">
        <v>44</v>
      </c>
      <c r="R10" s="1" t="s">
        <v>45</v>
      </c>
      <c r="S10" s="1" t="s">
        <v>207</v>
      </c>
      <c r="T10" s="1" t="s">
        <v>46</v>
      </c>
      <c r="U10" s="1" t="s">
        <v>50</v>
      </c>
      <c r="V10" s="1" t="s">
        <v>49</v>
      </c>
      <c r="W10" s="1">
        <v>2016</v>
      </c>
      <c r="X10" s="1">
        <v>2016</v>
      </c>
      <c r="Y10" s="1" t="s">
        <v>51</v>
      </c>
      <c r="Z10" s="1" t="s">
        <v>208</v>
      </c>
      <c r="AA10" s="1" t="s">
        <v>52</v>
      </c>
      <c r="AB10" s="1">
        <v>2019</v>
      </c>
    </row>
    <row r="11" spans="1:28" x14ac:dyDescent="0.2">
      <c r="A11" s="1">
        <v>14543</v>
      </c>
      <c r="B11" s="1" t="s">
        <v>214</v>
      </c>
      <c r="C11" s="106" t="s">
        <v>213</v>
      </c>
      <c r="D11" s="1">
        <v>20</v>
      </c>
      <c r="E11" s="1">
        <v>20033</v>
      </c>
      <c r="F11" s="1">
        <v>33.497999999999998</v>
      </c>
      <c r="G11" s="1" t="s">
        <v>221</v>
      </c>
      <c r="H11" s="124">
        <v>1</v>
      </c>
      <c r="I11" s="1" t="s">
        <v>40</v>
      </c>
      <c r="J11" s="106" t="s">
        <v>53</v>
      </c>
      <c r="K11" s="1">
        <v>1200</v>
      </c>
      <c r="L11" s="1" t="s">
        <v>159</v>
      </c>
      <c r="M11" s="1" t="s">
        <v>42</v>
      </c>
      <c r="N11" s="1" t="s">
        <v>206</v>
      </c>
      <c r="O11" s="1">
        <v>9003</v>
      </c>
      <c r="P11" s="1" t="s">
        <v>43</v>
      </c>
      <c r="Q11" s="1" t="s">
        <v>44</v>
      </c>
      <c r="R11" s="1" t="s">
        <v>45</v>
      </c>
      <c r="S11" s="1" t="s">
        <v>207</v>
      </c>
      <c r="T11" s="1" t="s">
        <v>46</v>
      </c>
      <c r="U11" s="1" t="s">
        <v>50</v>
      </c>
      <c r="V11" s="1" t="s">
        <v>49</v>
      </c>
      <c r="W11" s="1">
        <v>2016</v>
      </c>
      <c r="X11" s="1">
        <v>2016</v>
      </c>
      <c r="Y11" s="1" t="s">
        <v>51</v>
      </c>
      <c r="Z11" s="1" t="s">
        <v>208</v>
      </c>
      <c r="AA11" s="1" t="s">
        <v>52</v>
      </c>
      <c r="AB11" s="1">
        <v>2019</v>
      </c>
    </row>
    <row r="12" spans="1:28" x14ac:dyDescent="0.2">
      <c r="A12" s="1">
        <v>14548</v>
      </c>
      <c r="B12" s="1" t="s">
        <v>215</v>
      </c>
      <c r="C12" s="106" t="s">
        <v>160</v>
      </c>
      <c r="D12" s="1">
        <v>20</v>
      </c>
      <c r="E12" s="1">
        <v>21000</v>
      </c>
      <c r="F12" s="125">
        <v>34.14</v>
      </c>
      <c r="G12" s="1" t="s">
        <v>221</v>
      </c>
      <c r="H12" s="124">
        <v>4</v>
      </c>
      <c r="I12" s="1" t="s">
        <v>40</v>
      </c>
      <c r="J12" s="106" t="s">
        <v>54</v>
      </c>
      <c r="K12" s="1">
        <v>2500</v>
      </c>
      <c r="L12" s="1" t="s">
        <v>41</v>
      </c>
      <c r="M12" s="1" t="s">
        <v>42</v>
      </c>
      <c r="N12" s="1" t="s">
        <v>206</v>
      </c>
      <c r="O12" s="1">
        <v>9004</v>
      </c>
      <c r="P12" s="1" t="s">
        <v>43</v>
      </c>
      <c r="Q12" s="1" t="s">
        <v>44</v>
      </c>
      <c r="R12" s="1" t="s">
        <v>45</v>
      </c>
      <c r="S12" s="1" t="s">
        <v>207</v>
      </c>
      <c r="T12" s="1" t="s">
        <v>46</v>
      </c>
      <c r="U12" s="1" t="s">
        <v>50</v>
      </c>
      <c r="V12" s="1" t="s">
        <v>49</v>
      </c>
      <c r="W12" s="1">
        <v>2016</v>
      </c>
      <c r="X12" s="1">
        <v>2016</v>
      </c>
      <c r="Y12" s="1" t="s">
        <v>51</v>
      </c>
      <c r="Z12" s="1" t="s">
        <v>216</v>
      </c>
      <c r="AA12" s="1" t="s">
        <v>52</v>
      </c>
      <c r="AB12" s="1">
        <v>2019</v>
      </c>
    </row>
    <row r="13" spans="1:28" x14ac:dyDescent="0.2">
      <c r="A13" s="1">
        <v>14549</v>
      </c>
      <c r="B13" s="1" t="s">
        <v>215</v>
      </c>
      <c r="C13" s="106" t="s">
        <v>209</v>
      </c>
      <c r="D13" s="1">
        <v>20</v>
      </c>
      <c r="E13" s="1">
        <v>21000</v>
      </c>
      <c r="F13" s="1">
        <v>34.820999999999998</v>
      </c>
      <c r="G13" s="1" t="s">
        <v>221</v>
      </c>
      <c r="H13" s="124">
        <v>4</v>
      </c>
      <c r="I13" s="1" t="s">
        <v>40</v>
      </c>
      <c r="J13" s="106" t="s">
        <v>53</v>
      </c>
      <c r="K13" s="1">
        <v>1200</v>
      </c>
      <c r="L13" s="1" t="s">
        <v>159</v>
      </c>
      <c r="M13" s="1" t="s">
        <v>42</v>
      </c>
      <c r="N13" s="1" t="s">
        <v>206</v>
      </c>
      <c r="O13" s="1">
        <v>9003</v>
      </c>
      <c r="P13" s="1" t="s">
        <v>43</v>
      </c>
      <c r="Q13" s="1" t="s">
        <v>44</v>
      </c>
      <c r="R13" s="1" t="s">
        <v>45</v>
      </c>
      <c r="S13" s="1" t="s">
        <v>207</v>
      </c>
      <c r="T13" s="1" t="s">
        <v>46</v>
      </c>
      <c r="U13" s="1" t="s">
        <v>50</v>
      </c>
      <c r="V13" s="1" t="s">
        <v>49</v>
      </c>
      <c r="W13" s="1">
        <v>2016</v>
      </c>
      <c r="X13" s="1">
        <v>2016</v>
      </c>
      <c r="Y13" s="1" t="s">
        <v>51</v>
      </c>
      <c r="Z13" s="1" t="s">
        <v>208</v>
      </c>
      <c r="AA13" s="1" t="s">
        <v>52</v>
      </c>
      <c r="AB13" s="1">
        <v>2019</v>
      </c>
    </row>
    <row r="14" spans="1:28" x14ac:dyDescent="0.2">
      <c r="A14" s="1">
        <v>14550</v>
      </c>
      <c r="B14" s="1" t="s">
        <v>215</v>
      </c>
      <c r="C14" s="106" t="s">
        <v>212</v>
      </c>
      <c r="D14" s="1">
        <v>20</v>
      </c>
      <c r="E14" s="1">
        <v>21000</v>
      </c>
      <c r="F14" s="1">
        <v>34.820999999999998</v>
      </c>
      <c r="G14" s="1" t="s">
        <v>221</v>
      </c>
      <c r="H14" s="124">
        <v>6</v>
      </c>
      <c r="I14" s="1" t="s">
        <v>40</v>
      </c>
      <c r="J14" s="106" t="s">
        <v>53</v>
      </c>
      <c r="K14" s="1">
        <v>1200</v>
      </c>
      <c r="L14" s="1" t="s">
        <v>41</v>
      </c>
      <c r="M14" s="1" t="s">
        <v>42</v>
      </c>
      <c r="N14" s="1" t="s">
        <v>206</v>
      </c>
      <c r="O14" s="1">
        <v>9003</v>
      </c>
      <c r="P14" s="1" t="s">
        <v>43</v>
      </c>
      <c r="Q14" s="1" t="s">
        <v>44</v>
      </c>
      <c r="R14" s="1" t="s">
        <v>45</v>
      </c>
      <c r="S14" s="1" t="s">
        <v>207</v>
      </c>
      <c r="T14" s="1" t="s">
        <v>46</v>
      </c>
      <c r="U14" s="1" t="s">
        <v>50</v>
      </c>
      <c r="V14" s="1" t="s">
        <v>49</v>
      </c>
      <c r="W14" s="1">
        <v>2016</v>
      </c>
      <c r="X14" s="1">
        <v>2016</v>
      </c>
      <c r="Y14" s="1" t="s">
        <v>51</v>
      </c>
      <c r="Z14" s="1" t="s">
        <v>208</v>
      </c>
      <c r="AA14" s="1" t="s">
        <v>52</v>
      </c>
      <c r="AB14" s="1">
        <v>2019</v>
      </c>
    </row>
    <row r="15" spans="1:28" x14ac:dyDescent="0.2">
      <c r="A15" s="1">
        <v>14551</v>
      </c>
      <c r="B15" s="1" t="s">
        <v>215</v>
      </c>
      <c r="C15" s="106" t="s">
        <v>213</v>
      </c>
      <c r="D15" s="1">
        <v>20</v>
      </c>
      <c r="E15" s="1">
        <v>21000</v>
      </c>
      <c r="F15" s="1">
        <v>35.460999999999999</v>
      </c>
      <c r="G15" s="1" t="s">
        <v>221</v>
      </c>
      <c r="H15" s="124">
        <v>4</v>
      </c>
      <c r="I15" s="1" t="s">
        <v>40</v>
      </c>
      <c r="J15" s="106" t="s">
        <v>54</v>
      </c>
      <c r="K15" s="1">
        <v>2500</v>
      </c>
      <c r="L15" s="1" t="s">
        <v>159</v>
      </c>
      <c r="M15" s="1" t="s">
        <v>42</v>
      </c>
      <c r="N15" s="1" t="s">
        <v>206</v>
      </c>
      <c r="O15" s="1">
        <v>9004</v>
      </c>
      <c r="P15" s="1" t="s">
        <v>43</v>
      </c>
      <c r="Q15" s="1" t="s">
        <v>44</v>
      </c>
      <c r="R15" s="1" t="s">
        <v>45</v>
      </c>
      <c r="S15" s="1" t="s">
        <v>207</v>
      </c>
      <c r="T15" s="1" t="s">
        <v>46</v>
      </c>
      <c r="U15" s="1" t="s">
        <v>50</v>
      </c>
      <c r="V15" s="1" t="s">
        <v>49</v>
      </c>
      <c r="W15" s="1">
        <v>2016</v>
      </c>
      <c r="X15" s="1">
        <v>2016</v>
      </c>
      <c r="Y15" s="1" t="s">
        <v>51</v>
      </c>
      <c r="Z15" s="1" t="s">
        <v>216</v>
      </c>
      <c r="AA15" s="1" t="s">
        <v>52</v>
      </c>
      <c r="AB15" s="1">
        <v>2019</v>
      </c>
    </row>
    <row r="16" spans="1:28" x14ac:dyDescent="0.2">
      <c r="A16" s="1">
        <v>14554</v>
      </c>
      <c r="B16" s="1" t="s">
        <v>215</v>
      </c>
      <c r="C16" s="106" t="s">
        <v>217</v>
      </c>
      <c r="D16" s="1">
        <v>20</v>
      </c>
      <c r="E16" s="1">
        <v>21000</v>
      </c>
      <c r="F16" s="1">
        <v>36.357999999999997</v>
      </c>
      <c r="G16" s="1" t="s">
        <v>221</v>
      </c>
      <c r="H16" s="124">
        <v>7</v>
      </c>
      <c r="I16" s="1" t="s">
        <v>40</v>
      </c>
      <c r="J16" s="106" t="s">
        <v>54</v>
      </c>
      <c r="K16" s="1">
        <v>2500</v>
      </c>
      <c r="L16" s="1" t="s">
        <v>41</v>
      </c>
      <c r="M16" s="1" t="s">
        <v>218</v>
      </c>
      <c r="N16" s="1" t="s">
        <v>206</v>
      </c>
      <c r="O16" s="1">
        <v>9004</v>
      </c>
      <c r="P16" s="1" t="s">
        <v>43</v>
      </c>
      <c r="Q16" s="1" t="s">
        <v>44</v>
      </c>
      <c r="R16" s="1" t="s">
        <v>45</v>
      </c>
      <c r="S16" s="1" t="s">
        <v>207</v>
      </c>
      <c r="T16" s="1" t="s">
        <v>46</v>
      </c>
      <c r="U16" s="1" t="s">
        <v>50</v>
      </c>
      <c r="V16" s="1" t="s">
        <v>49</v>
      </c>
      <c r="W16" s="1">
        <v>2016</v>
      </c>
      <c r="X16" s="1">
        <v>2016</v>
      </c>
      <c r="Y16" s="1" t="s">
        <v>51</v>
      </c>
      <c r="Z16" s="1" t="s">
        <v>216</v>
      </c>
      <c r="AA16" s="1" t="s">
        <v>52</v>
      </c>
      <c r="AB16" s="1">
        <v>2019</v>
      </c>
    </row>
    <row r="17" spans="1:28" x14ac:dyDescent="0.2">
      <c r="A17" s="1">
        <v>14557</v>
      </c>
      <c r="B17" s="1" t="s">
        <v>219</v>
      </c>
      <c r="C17" s="106" t="s">
        <v>160</v>
      </c>
      <c r="D17" s="1">
        <v>20</v>
      </c>
      <c r="E17" s="1">
        <v>21039</v>
      </c>
      <c r="F17" s="1">
        <v>38.942999999999998</v>
      </c>
      <c r="G17" s="1" t="s">
        <v>221</v>
      </c>
      <c r="H17" s="124">
        <v>2</v>
      </c>
      <c r="I17" s="1" t="s">
        <v>40</v>
      </c>
      <c r="J17" s="106" t="s">
        <v>53</v>
      </c>
      <c r="K17" s="1">
        <v>1200</v>
      </c>
      <c r="L17" s="1" t="s">
        <v>41</v>
      </c>
      <c r="M17" s="1" t="s">
        <v>42</v>
      </c>
      <c r="N17" s="1" t="s">
        <v>206</v>
      </c>
      <c r="O17" s="1">
        <v>9003</v>
      </c>
      <c r="P17" s="1" t="s">
        <v>43</v>
      </c>
      <c r="Q17" s="1" t="s">
        <v>44</v>
      </c>
      <c r="R17" s="1" t="s">
        <v>45</v>
      </c>
      <c r="S17" s="1" t="s">
        <v>207</v>
      </c>
      <c r="T17" s="1" t="s">
        <v>46</v>
      </c>
      <c r="U17" s="1" t="s">
        <v>50</v>
      </c>
      <c r="V17" s="1" t="s">
        <v>49</v>
      </c>
      <c r="W17" s="1">
        <v>2016</v>
      </c>
      <c r="X17" s="1">
        <v>2016</v>
      </c>
      <c r="Y17" s="1" t="s">
        <v>51</v>
      </c>
      <c r="Z17" s="1" t="s">
        <v>208</v>
      </c>
      <c r="AA17" s="1" t="s">
        <v>52</v>
      </c>
      <c r="AB17" s="1">
        <v>2019</v>
      </c>
    </row>
    <row r="18" spans="1:28" x14ac:dyDescent="0.2">
      <c r="A18" s="1">
        <v>14558</v>
      </c>
      <c r="B18" s="1" t="s">
        <v>219</v>
      </c>
      <c r="C18" s="106" t="s">
        <v>209</v>
      </c>
      <c r="D18" s="1">
        <v>20</v>
      </c>
      <c r="E18" s="1">
        <v>21039</v>
      </c>
      <c r="F18" s="1">
        <v>39.149000000000001</v>
      </c>
      <c r="G18" s="1" t="s">
        <v>221</v>
      </c>
      <c r="H18" s="124">
        <v>2</v>
      </c>
      <c r="I18" s="1" t="s">
        <v>40</v>
      </c>
      <c r="J18" s="106" t="s">
        <v>55</v>
      </c>
      <c r="K18" s="1">
        <v>2500</v>
      </c>
      <c r="L18" s="1" t="s">
        <v>159</v>
      </c>
      <c r="M18" s="1" t="s">
        <v>42</v>
      </c>
      <c r="N18" s="1" t="s">
        <v>206</v>
      </c>
      <c r="O18" s="1">
        <v>9006</v>
      </c>
      <c r="P18" s="1" t="s">
        <v>43</v>
      </c>
      <c r="Q18" s="1" t="s">
        <v>44</v>
      </c>
      <c r="R18" s="1" t="s">
        <v>45</v>
      </c>
      <c r="S18" s="1" t="s">
        <v>207</v>
      </c>
      <c r="T18" s="1" t="s">
        <v>46</v>
      </c>
      <c r="U18" s="1" t="s">
        <v>50</v>
      </c>
      <c r="V18" s="1" t="s">
        <v>49</v>
      </c>
      <c r="W18" s="1">
        <v>2016</v>
      </c>
      <c r="X18" s="1">
        <v>2016</v>
      </c>
      <c r="Y18" s="1" t="s">
        <v>51</v>
      </c>
      <c r="Z18" s="1" t="s">
        <v>211</v>
      </c>
      <c r="AA18" s="1" t="s">
        <v>52</v>
      </c>
      <c r="AB18" s="1">
        <v>2019</v>
      </c>
    </row>
    <row r="19" spans="1:28" x14ac:dyDescent="0.2">
      <c r="A19" s="1">
        <v>14559</v>
      </c>
      <c r="B19" s="1" t="s">
        <v>219</v>
      </c>
      <c r="C19" s="106" t="s">
        <v>212</v>
      </c>
      <c r="D19" s="1">
        <v>20</v>
      </c>
      <c r="E19" s="1">
        <v>21039</v>
      </c>
      <c r="F19" s="125">
        <v>39.270000000000003</v>
      </c>
      <c r="G19" s="1" t="s">
        <v>221</v>
      </c>
      <c r="H19" s="124">
        <v>1</v>
      </c>
      <c r="I19" s="1" t="s">
        <v>40</v>
      </c>
      <c r="J19" s="106" t="s">
        <v>55</v>
      </c>
      <c r="K19" s="1">
        <v>2500</v>
      </c>
      <c r="L19" s="1" t="s">
        <v>159</v>
      </c>
      <c r="M19" s="1" t="s">
        <v>42</v>
      </c>
      <c r="N19" s="1" t="s">
        <v>206</v>
      </c>
      <c r="O19" s="1">
        <v>9006</v>
      </c>
      <c r="P19" s="1" t="s">
        <v>43</v>
      </c>
      <c r="Q19" s="1" t="s">
        <v>44</v>
      </c>
      <c r="R19" s="1" t="s">
        <v>45</v>
      </c>
      <c r="S19" s="1" t="s">
        <v>207</v>
      </c>
      <c r="T19" s="1" t="s">
        <v>46</v>
      </c>
      <c r="U19" s="1" t="s">
        <v>50</v>
      </c>
      <c r="V19" s="1" t="s">
        <v>49</v>
      </c>
      <c r="W19" s="1">
        <v>2016</v>
      </c>
      <c r="X19" s="1">
        <v>2016</v>
      </c>
      <c r="Y19" s="1" t="s">
        <v>51</v>
      </c>
      <c r="Z19" s="1" t="s">
        <v>211</v>
      </c>
      <c r="AA19" s="1" t="s">
        <v>52</v>
      </c>
      <c r="AB19" s="1">
        <v>2019</v>
      </c>
    </row>
    <row r="20" spans="1:28" x14ac:dyDescent="0.2">
      <c r="A20" s="1">
        <v>14560</v>
      </c>
      <c r="B20" s="1" t="s">
        <v>219</v>
      </c>
      <c r="C20" s="106" t="s">
        <v>213</v>
      </c>
      <c r="D20" s="1">
        <v>20</v>
      </c>
      <c r="E20" s="1">
        <v>21039</v>
      </c>
      <c r="F20" s="1">
        <v>40.182000000000002</v>
      </c>
      <c r="G20" s="1" t="s">
        <v>221</v>
      </c>
      <c r="H20" s="124">
        <v>2</v>
      </c>
      <c r="I20" s="1" t="s">
        <v>40</v>
      </c>
      <c r="J20" s="106" t="s">
        <v>53</v>
      </c>
      <c r="K20" s="1">
        <v>1200</v>
      </c>
      <c r="L20" s="1" t="s">
        <v>159</v>
      </c>
      <c r="M20" s="1" t="s">
        <v>42</v>
      </c>
      <c r="N20" s="1" t="s">
        <v>206</v>
      </c>
      <c r="O20" s="1">
        <v>9003</v>
      </c>
      <c r="P20" s="1" t="s">
        <v>43</v>
      </c>
      <c r="Q20" s="1" t="s">
        <v>44</v>
      </c>
      <c r="R20" s="1" t="s">
        <v>45</v>
      </c>
      <c r="S20" s="1" t="s">
        <v>207</v>
      </c>
      <c r="T20" s="1" t="s">
        <v>46</v>
      </c>
      <c r="U20" s="1" t="s">
        <v>50</v>
      </c>
      <c r="V20" s="1" t="s">
        <v>49</v>
      </c>
      <c r="W20" s="1">
        <v>2016</v>
      </c>
      <c r="X20" s="1">
        <v>2016</v>
      </c>
      <c r="Y20" s="1" t="s">
        <v>51</v>
      </c>
      <c r="Z20" s="1" t="s">
        <v>208</v>
      </c>
      <c r="AA20" s="1" t="s">
        <v>52</v>
      </c>
      <c r="AB20" s="1">
        <v>2019</v>
      </c>
    </row>
    <row r="21" spans="1:28" x14ac:dyDescent="0.2">
      <c r="A21" s="1">
        <v>14565</v>
      </c>
      <c r="B21" s="1" t="s">
        <v>220</v>
      </c>
      <c r="C21" s="106" t="s">
        <v>160</v>
      </c>
      <c r="D21" s="1">
        <v>20</v>
      </c>
      <c r="E21" s="1">
        <v>21047</v>
      </c>
      <c r="F21" s="1">
        <v>45.283000000000001</v>
      </c>
      <c r="G21" s="1" t="s">
        <v>221</v>
      </c>
      <c r="H21" s="124">
        <v>2</v>
      </c>
      <c r="I21" s="1" t="s">
        <v>40</v>
      </c>
      <c r="J21" s="106" t="s">
        <v>55</v>
      </c>
      <c r="K21" s="1">
        <v>2500</v>
      </c>
      <c r="L21" s="1" t="s">
        <v>159</v>
      </c>
      <c r="M21" s="1" t="s">
        <v>42</v>
      </c>
      <c r="N21" s="1" t="s">
        <v>206</v>
      </c>
      <c r="O21" s="1">
        <v>9006</v>
      </c>
      <c r="P21" s="1" t="s">
        <v>43</v>
      </c>
      <c r="Q21" s="1" t="s">
        <v>44</v>
      </c>
      <c r="R21" s="1" t="s">
        <v>45</v>
      </c>
      <c r="S21" s="1" t="s">
        <v>207</v>
      </c>
      <c r="T21" s="1" t="s">
        <v>46</v>
      </c>
      <c r="U21" s="1" t="s">
        <v>50</v>
      </c>
      <c r="V21" s="1" t="s">
        <v>49</v>
      </c>
      <c r="W21" s="1">
        <v>2016</v>
      </c>
      <c r="X21" s="1">
        <v>2016</v>
      </c>
      <c r="Y21" s="1" t="s">
        <v>51</v>
      </c>
      <c r="Z21" s="1" t="s">
        <v>211</v>
      </c>
      <c r="AA21" s="1" t="s">
        <v>52</v>
      </c>
      <c r="AB21" s="1">
        <v>2019</v>
      </c>
    </row>
    <row r="22" spans="1:28" x14ac:dyDescent="0.2">
      <c r="A22" s="1">
        <v>14566</v>
      </c>
      <c r="B22" s="1" t="s">
        <v>220</v>
      </c>
      <c r="C22" s="106" t="s">
        <v>209</v>
      </c>
      <c r="D22" s="1">
        <v>20</v>
      </c>
      <c r="E22" s="1">
        <v>21047</v>
      </c>
      <c r="F22" s="125">
        <v>45.4</v>
      </c>
      <c r="G22" s="1" t="s">
        <v>221</v>
      </c>
      <c r="H22" s="124">
        <v>1</v>
      </c>
      <c r="I22" s="1" t="s">
        <v>40</v>
      </c>
      <c r="J22" s="106" t="s">
        <v>55</v>
      </c>
      <c r="K22" s="1">
        <v>2500</v>
      </c>
      <c r="L22" s="1" t="s">
        <v>159</v>
      </c>
      <c r="M22" s="1" t="s">
        <v>42</v>
      </c>
      <c r="N22" s="1" t="s">
        <v>206</v>
      </c>
      <c r="O22" s="1">
        <v>9006</v>
      </c>
      <c r="P22" s="1" t="s">
        <v>43</v>
      </c>
      <c r="Q22" s="1" t="s">
        <v>44</v>
      </c>
      <c r="R22" s="1" t="s">
        <v>45</v>
      </c>
      <c r="S22" s="1" t="s">
        <v>207</v>
      </c>
      <c r="T22" s="1" t="s">
        <v>46</v>
      </c>
      <c r="U22" s="1" t="s">
        <v>50</v>
      </c>
      <c r="V22" s="1" t="s">
        <v>49</v>
      </c>
      <c r="W22" s="1">
        <v>2016</v>
      </c>
      <c r="X22" s="1">
        <v>2016</v>
      </c>
      <c r="Y22" s="1" t="s">
        <v>51</v>
      </c>
      <c r="Z22" s="1" t="s">
        <v>211</v>
      </c>
      <c r="AA22" s="1" t="s">
        <v>52</v>
      </c>
      <c r="AB22" s="1">
        <v>2019</v>
      </c>
    </row>
    <row r="23" spans="1:28" x14ac:dyDescent="0.2">
      <c r="A23" s="1">
        <v>14567</v>
      </c>
      <c r="B23" s="1" t="s">
        <v>220</v>
      </c>
      <c r="C23" s="106" t="s">
        <v>212</v>
      </c>
      <c r="D23" s="1">
        <v>20</v>
      </c>
      <c r="E23" s="1">
        <v>21047</v>
      </c>
      <c r="F23" s="1">
        <v>46.793999999999997</v>
      </c>
      <c r="G23" s="1" t="s">
        <v>221</v>
      </c>
      <c r="H23" s="124">
        <v>1</v>
      </c>
      <c r="I23" s="1" t="s">
        <v>40</v>
      </c>
      <c r="J23" s="106" t="s">
        <v>55</v>
      </c>
      <c r="K23" s="1">
        <v>2500</v>
      </c>
      <c r="L23" s="1" t="s">
        <v>41</v>
      </c>
      <c r="M23" s="1" t="s">
        <v>42</v>
      </c>
      <c r="N23" s="1" t="s">
        <v>206</v>
      </c>
      <c r="O23" s="1">
        <v>9006</v>
      </c>
      <c r="P23" s="1" t="s">
        <v>43</v>
      </c>
      <c r="Q23" s="1" t="s">
        <v>44</v>
      </c>
      <c r="R23" s="1" t="s">
        <v>45</v>
      </c>
      <c r="S23" s="1" t="s">
        <v>207</v>
      </c>
      <c r="T23" s="1" t="s">
        <v>46</v>
      </c>
      <c r="U23" s="1" t="s">
        <v>50</v>
      </c>
      <c r="V23" s="1" t="s">
        <v>49</v>
      </c>
      <c r="W23" s="1">
        <v>2016</v>
      </c>
      <c r="X23" s="1">
        <v>2016</v>
      </c>
      <c r="Y23" s="1" t="s">
        <v>51</v>
      </c>
      <c r="Z23" s="1" t="s">
        <v>211</v>
      </c>
      <c r="AA23" s="1" t="s">
        <v>52</v>
      </c>
      <c r="AB23" s="1">
        <v>2019</v>
      </c>
    </row>
    <row r="24" spans="1:28" x14ac:dyDescent="0.2">
      <c r="A24" s="1">
        <v>14568</v>
      </c>
      <c r="B24" s="1" t="s">
        <v>220</v>
      </c>
      <c r="C24" s="106" t="s">
        <v>213</v>
      </c>
      <c r="D24" s="1">
        <v>20</v>
      </c>
      <c r="E24" s="1">
        <v>21047</v>
      </c>
      <c r="F24" s="1">
        <v>46.911000000000001</v>
      </c>
      <c r="G24" s="1" t="s">
        <v>221</v>
      </c>
      <c r="H24" s="124">
        <v>2</v>
      </c>
      <c r="I24" s="1" t="s">
        <v>40</v>
      </c>
      <c r="J24" s="106" t="s">
        <v>55</v>
      </c>
      <c r="K24" s="1">
        <v>2500</v>
      </c>
      <c r="L24" s="1" t="s">
        <v>41</v>
      </c>
      <c r="M24" s="1" t="s">
        <v>42</v>
      </c>
      <c r="N24" s="1" t="s">
        <v>206</v>
      </c>
      <c r="O24" s="1">
        <v>9006</v>
      </c>
      <c r="P24" s="1" t="s">
        <v>43</v>
      </c>
      <c r="Q24" s="1" t="s">
        <v>44</v>
      </c>
      <c r="R24" s="1" t="s">
        <v>45</v>
      </c>
      <c r="S24" s="1" t="s">
        <v>207</v>
      </c>
      <c r="T24" s="1" t="s">
        <v>46</v>
      </c>
      <c r="U24" s="1" t="s">
        <v>50</v>
      </c>
      <c r="V24" s="1" t="s">
        <v>49</v>
      </c>
      <c r="W24" s="1">
        <v>2016</v>
      </c>
      <c r="X24" s="1">
        <v>2016</v>
      </c>
      <c r="Y24" s="1" t="s">
        <v>51</v>
      </c>
      <c r="Z24" s="1" t="s">
        <v>211</v>
      </c>
      <c r="AA24" s="1" t="s">
        <v>52</v>
      </c>
      <c r="AB24" s="1">
        <v>2019</v>
      </c>
    </row>
  </sheetData>
  <pageMargins left="0.25" right="0.25" top="0.75" bottom="0.75" header="0.3" footer="0.3"/>
  <pageSetup paperSize="8" scale="56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'C:\Users\rxvf\AppData\Local\Microsoft\Windows\Temporary Internet Files\Content.Outlook\M43NUWCA\[Sporskiftekort_Hoejhastigheds_Sporskifter_02.00_LMW_ver2.xlsx]Andet'!#REF!</xm:f>
          </x14:formula1>
          <xm:sqref>U2:V24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I8"/>
  <sheetViews>
    <sheetView zoomScaleNormal="100" workbookViewId="0">
      <selection activeCell="E34" sqref="E34"/>
    </sheetView>
  </sheetViews>
  <sheetFormatPr defaultRowHeight="12" x14ac:dyDescent="0.2"/>
  <cols>
    <col min="1" max="1" width="12.85546875" style="1" bestFit="1" customWidth="1"/>
    <col min="2" max="8" width="9.140625" style="1" customWidth="1"/>
    <col min="9" max="16384" width="9.140625" style="1"/>
  </cols>
  <sheetData>
    <row r="1" spans="1:9" ht="12" customHeight="1" x14ac:dyDescent="0.2">
      <c r="A1" s="6" t="s">
        <v>47</v>
      </c>
      <c r="B1" s="6" t="s">
        <v>196</v>
      </c>
      <c r="C1" s="6"/>
      <c r="D1" s="6"/>
      <c r="E1" s="6"/>
      <c r="F1" s="6"/>
      <c r="G1" s="6"/>
      <c r="H1" s="6"/>
      <c r="I1" s="6"/>
    </row>
    <row r="2" spans="1:9" x14ac:dyDescent="0.2">
      <c r="A2" s="6" t="s">
        <v>48</v>
      </c>
      <c r="B2" s="107">
        <v>3</v>
      </c>
      <c r="C2" s="6"/>
      <c r="D2" s="6"/>
      <c r="E2" s="6"/>
      <c r="F2" s="6"/>
      <c r="G2" s="6"/>
      <c r="H2" s="6"/>
      <c r="I2" s="6"/>
    </row>
    <row r="3" spans="1:9" x14ac:dyDescent="0.2">
      <c r="A3" s="6" t="s">
        <v>49</v>
      </c>
      <c r="B3" s="107">
        <v>2</v>
      </c>
      <c r="C3" s="6"/>
      <c r="D3" s="6"/>
      <c r="E3" s="6"/>
      <c r="F3" s="6"/>
      <c r="G3" s="6"/>
      <c r="H3" s="6"/>
      <c r="I3" s="6"/>
    </row>
    <row r="4" spans="1:9" x14ac:dyDescent="0.2">
      <c r="A4" s="6" t="s">
        <v>50</v>
      </c>
      <c r="B4" s="107">
        <v>1</v>
      </c>
      <c r="C4" s="6"/>
      <c r="D4" s="6"/>
      <c r="E4" s="6"/>
      <c r="F4" s="6"/>
      <c r="G4" s="6"/>
      <c r="H4" s="6"/>
      <c r="I4" s="6"/>
    </row>
    <row r="5" spans="1:9" x14ac:dyDescent="0.2">
      <c r="A5" s="6"/>
      <c r="B5" s="6"/>
      <c r="C5" s="6"/>
      <c r="D5" s="6"/>
      <c r="E5" s="6"/>
      <c r="F5" s="6"/>
      <c r="G5" s="6"/>
      <c r="H5" s="6"/>
    </row>
    <row r="6" spans="1:9" x14ac:dyDescent="0.2">
      <c r="A6" s="6" t="s">
        <v>179</v>
      </c>
      <c r="B6" s="6"/>
      <c r="C6" s="6"/>
      <c r="D6" s="6"/>
      <c r="E6" s="6"/>
      <c r="F6" s="6"/>
      <c r="G6" s="6"/>
      <c r="H6" s="6"/>
    </row>
    <row r="7" spans="1:9" x14ac:dyDescent="0.2">
      <c r="A7" s="6" t="s">
        <v>180</v>
      </c>
      <c r="B7" s="6"/>
      <c r="C7" s="6"/>
      <c r="D7" s="6"/>
      <c r="E7" s="6"/>
      <c r="F7" s="6"/>
      <c r="G7" s="6"/>
      <c r="H7" s="6"/>
    </row>
    <row r="8" spans="1:9" ht="12" customHeight="1" x14ac:dyDescent="0.2">
      <c r="A8" s="6" t="s">
        <v>181</v>
      </c>
      <c r="B8" s="7"/>
      <c r="C8" s="7"/>
      <c r="D8" s="7"/>
      <c r="E8" s="7"/>
      <c r="F8" s="7"/>
      <c r="G8" s="7"/>
      <c r="H8" s="7"/>
    </row>
  </sheetData>
  <pageMargins left="0.25" right="0.25" top="0.75" bottom="0.75" header="0.3" footer="0.3"/>
  <pageSetup paperSize="9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zoomScaleNormal="100" workbookViewId="0">
      <selection activeCell="A15" sqref="A15:B15"/>
    </sheetView>
  </sheetViews>
  <sheetFormatPr defaultRowHeight="12" x14ac:dyDescent="0.2"/>
  <cols>
    <col min="1" max="1" width="20.7109375" style="1" customWidth="1"/>
    <col min="2" max="2" width="10.7109375" style="1" customWidth="1"/>
    <col min="3" max="17" width="7.7109375" style="1" customWidth="1"/>
    <col min="18" max="16384" width="9.140625" style="1"/>
  </cols>
  <sheetData>
    <row r="1" spans="1:17" ht="39.950000000000003" customHeight="1" thickBot="1" x14ac:dyDescent="0.25">
      <c r="A1" s="154" t="s">
        <v>82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5" customHeight="1" x14ac:dyDescent="0.2">
      <c r="A2" s="182"/>
      <c r="B2" s="183"/>
      <c r="C2" s="26" t="s">
        <v>56</v>
      </c>
      <c r="D2" s="12" t="s">
        <v>57</v>
      </c>
      <c r="E2" s="12" t="s">
        <v>58</v>
      </c>
      <c r="F2" s="12" t="s">
        <v>59</v>
      </c>
      <c r="G2" s="12" t="s">
        <v>60</v>
      </c>
      <c r="H2" s="12" t="s">
        <v>61</v>
      </c>
      <c r="I2" s="12" t="s">
        <v>62</v>
      </c>
      <c r="J2" s="13" t="s">
        <v>63</v>
      </c>
      <c r="K2" s="13" t="s">
        <v>64</v>
      </c>
      <c r="L2" s="13" t="s">
        <v>65</v>
      </c>
      <c r="M2" s="13" t="s">
        <v>66</v>
      </c>
      <c r="N2" s="13" t="s">
        <v>67</v>
      </c>
      <c r="O2" s="13" t="s">
        <v>68</v>
      </c>
      <c r="P2" s="13" t="s">
        <v>69</v>
      </c>
      <c r="Q2" s="14" t="s">
        <v>70</v>
      </c>
    </row>
    <row r="3" spans="1:17" ht="15" customHeight="1" thickBot="1" x14ac:dyDescent="0.25">
      <c r="A3" s="184"/>
      <c r="B3" s="185"/>
      <c r="C3" s="27" t="s">
        <v>71</v>
      </c>
      <c r="D3" s="15" t="s">
        <v>72</v>
      </c>
      <c r="E3" s="15" t="s">
        <v>73</v>
      </c>
      <c r="F3" s="15" t="s">
        <v>72</v>
      </c>
      <c r="G3" s="15" t="s">
        <v>73</v>
      </c>
      <c r="H3" s="15" t="s">
        <v>71</v>
      </c>
      <c r="I3" s="15" t="s">
        <v>71</v>
      </c>
      <c r="J3" s="15" t="s">
        <v>71</v>
      </c>
      <c r="K3" s="15" t="s">
        <v>71</v>
      </c>
      <c r="L3" s="16" t="s">
        <v>71</v>
      </c>
      <c r="M3" s="16" t="s">
        <v>71</v>
      </c>
      <c r="N3" s="16" t="s">
        <v>72</v>
      </c>
      <c r="O3" s="16" t="s">
        <v>71</v>
      </c>
      <c r="P3" s="16" t="s">
        <v>72</v>
      </c>
      <c r="Q3" s="17" t="s">
        <v>71</v>
      </c>
    </row>
    <row r="4" spans="1:17" ht="15" customHeight="1" thickBot="1" x14ac:dyDescent="0.25">
      <c r="A4" s="170" t="s">
        <v>164</v>
      </c>
      <c r="B4" s="171"/>
      <c r="C4" s="28">
        <f>VLOOKUP(Sporskifte_Stamdata!$C$6,Tabel3[],C7,FALSE)-1400</f>
        <v>40</v>
      </c>
      <c r="D4" s="18">
        <f>VLOOKUP(Sporskifte_Stamdata!$C$6,Tabel3[],D7,FALSE)</f>
        <v>60</v>
      </c>
      <c r="E4" s="18">
        <f>VLOOKUP(Sporskifte_Stamdata!$C$6,Tabel3[],E7,FALSE)-1300</f>
        <v>78</v>
      </c>
      <c r="F4" s="18">
        <f>VLOOKUP(Sporskifte_Stamdata!$C$6,Tabel3[],F7,FALSE)</f>
        <v>60</v>
      </c>
      <c r="G4" s="18">
        <f>VLOOKUP(Sporskifte_Stamdata!$C$6,Tabel3[],G7,FALSE)-1300</f>
        <v>78</v>
      </c>
      <c r="H4" s="18">
        <f>VLOOKUP(Sporskifte_Stamdata!$C$6,Tabel3[],H7,FALSE)-1400</f>
        <v>43</v>
      </c>
      <c r="I4" s="18">
        <f>VLOOKUP(Sporskifte_Stamdata!$C$6,Tabel3[],I7,FALSE)-1400</f>
        <v>43</v>
      </c>
      <c r="J4" s="19">
        <f>VLOOKUP(Sporskifte_Stamdata!$C$6,Tabel3[],J7,FALSE)-1400</f>
        <v>35</v>
      </c>
      <c r="K4" s="19">
        <f>VLOOKUP(Sporskifte_Stamdata!$C$6,Tabel3[],K7,FALSE)-1400</f>
        <v>35</v>
      </c>
      <c r="L4" s="19">
        <f>VLOOKUP(Sporskifte_Stamdata!$C$6,Tabel3[],L7,FALSE)-1400</f>
        <v>35</v>
      </c>
      <c r="M4" s="19">
        <f>VLOOKUP(Sporskifte_Stamdata!$C$6,Tabel3[],M7,FALSE)-1400</f>
        <v>35</v>
      </c>
      <c r="N4" s="19">
        <f>VLOOKUP(Sporskifte_Stamdata!$C$6,Tabel3[],N7,FALSE)</f>
        <v>60</v>
      </c>
      <c r="O4" s="19">
        <f>VLOOKUP(Sporskifte_Stamdata!$C$6,Tabel3[],O7,FALSE)-1400</f>
        <v>35</v>
      </c>
      <c r="P4" s="19">
        <f>VLOOKUP(Sporskifte_Stamdata!$C$6,Tabel3[],P7,FALSE)</f>
        <v>60</v>
      </c>
      <c r="Q4" s="20">
        <f>VLOOKUP(Sporskifte_Stamdata!$C$6,Tabel3[],Q7,FALSE)-1400</f>
        <v>35</v>
      </c>
    </row>
    <row r="5" spans="1:17" ht="15" hidden="1" customHeight="1" x14ac:dyDescent="0.2">
      <c r="A5" s="172" t="s">
        <v>75</v>
      </c>
      <c r="B5" s="173"/>
      <c r="C5" s="119" t="str">
        <f>IF(IFERROR(FIND("1",C2),"Stamspor")="Stamspor","Stamspor","Afvigendespor")</f>
        <v>Stamspor</v>
      </c>
      <c r="D5" s="122" t="str">
        <f t="shared" ref="D5:Q5" si="0">IF(IFERROR(FIND("1",D2),"Stamspor")="Stamspor","Stamspor","Afvigendespor")</f>
        <v>Stamspor</v>
      </c>
      <c r="E5" s="122" t="str">
        <f t="shared" si="0"/>
        <v>Stamspor</v>
      </c>
      <c r="F5" s="122" t="str">
        <f t="shared" si="0"/>
        <v>Afvigendespor</v>
      </c>
      <c r="G5" s="122" t="str">
        <f t="shared" si="0"/>
        <v>Afvigendespor</v>
      </c>
      <c r="H5" s="122" t="str">
        <f t="shared" si="0"/>
        <v>Stamspor</v>
      </c>
      <c r="I5" s="122" t="str">
        <f t="shared" si="0"/>
        <v>Afvigendespor</v>
      </c>
      <c r="J5" s="122" t="str">
        <f t="shared" si="0"/>
        <v>Stamspor</v>
      </c>
      <c r="K5" s="122" t="str">
        <f t="shared" si="0"/>
        <v>Afvigendespor</v>
      </c>
      <c r="L5" s="122" t="str">
        <f t="shared" si="0"/>
        <v>Stamspor</v>
      </c>
      <c r="M5" s="122" t="str">
        <f t="shared" si="0"/>
        <v>Afvigendespor</v>
      </c>
      <c r="N5" s="122" t="str">
        <f t="shared" si="0"/>
        <v>Stamspor</v>
      </c>
      <c r="O5" s="122" t="str">
        <f t="shared" si="0"/>
        <v>Stamspor</v>
      </c>
      <c r="P5" s="122" t="str">
        <f t="shared" si="0"/>
        <v>Afvigendespor</v>
      </c>
      <c r="Q5" s="120" t="str">
        <f t="shared" si="0"/>
        <v>Afvigendespor</v>
      </c>
    </row>
    <row r="6" spans="1:17" ht="15" hidden="1" customHeight="1" x14ac:dyDescent="0.2">
      <c r="A6" s="174" t="s">
        <v>47</v>
      </c>
      <c r="B6" s="175"/>
      <c r="C6" s="117" t="str">
        <f>IF(C5="Stamspor",Sporskifte_Stamdata!$A$8,Sporskifte_Stamdata!$B$8)</f>
        <v>B, A og A1</v>
      </c>
      <c r="D6" s="9" t="str">
        <f>IF(D5="Stamspor",Sporskifte_Stamdata!$A$8,Sporskifte_Stamdata!$B$8)</f>
        <v>B, A og A1</v>
      </c>
      <c r="E6" s="9" t="str">
        <f>IF(E5="Stamspor",Sporskifte_Stamdata!$A$8,Sporskifte_Stamdata!$B$8)</f>
        <v>B, A og A1</v>
      </c>
      <c r="F6" s="9" t="str">
        <f>IF(F5="Stamspor",Sporskifte_Stamdata!$A$8,Sporskifte_Stamdata!$B$8)</f>
        <v>D og C</v>
      </c>
      <c r="G6" s="9" t="str">
        <f>IF(G5="Stamspor",Sporskifte_Stamdata!$A$8,Sporskifte_Stamdata!$B$8)</f>
        <v>D og C</v>
      </c>
      <c r="H6" s="9" t="str">
        <f>IF(H5="Stamspor",Sporskifte_Stamdata!$A$8,Sporskifte_Stamdata!$B$8)</f>
        <v>B, A og A1</v>
      </c>
      <c r="I6" s="9" t="str">
        <f>IF(I5="Stamspor",Sporskifte_Stamdata!$A$8,Sporskifte_Stamdata!$B$8)</f>
        <v>D og C</v>
      </c>
      <c r="J6" s="9" t="str">
        <f>IF(J5="Stamspor",Sporskifte_Stamdata!$A$8,Sporskifte_Stamdata!$B$8)</f>
        <v>B, A og A1</v>
      </c>
      <c r="K6" s="9" t="str">
        <f>IF(K5="Stamspor",Sporskifte_Stamdata!$A$8,Sporskifte_Stamdata!$B$8)</f>
        <v>D og C</v>
      </c>
      <c r="L6" s="9" t="str">
        <f>IF(L5="Stamspor",Sporskifte_Stamdata!$A$8,Sporskifte_Stamdata!$B$8)</f>
        <v>B, A og A1</v>
      </c>
      <c r="M6" s="9" t="str">
        <f>IF(M5="Stamspor",Sporskifte_Stamdata!$A$8,Sporskifte_Stamdata!$B$8)</f>
        <v>D og C</v>
      </c>
      <c r="N6" s="9" t="str">
        <f>IF(N5="Stamspor",Sporskifte_Stamdata!$A$8,Sporskifte_Stamdata!$B$8)</f>
        <v>B, A og A1</v>
      </c>
      <c r="O6" s="9" t="str">
        <f>IF(O5="Stamspor",Sporskifte_Stamdata!$A$8,Sporskifte_Stamdata!$B$8)</f>
        <v>B, A og A1</v>
      </c>
      <c r="P6" s="9" t="str">
        <f>IF(P5="Stamspor",Sporskifte_Stamdata!$A$8,Sporskifte_Stamdata!$B$8)</f>
        <v>D og C</v>
      </c>
      <c r="Q6" s="118" t="str">
        <f>IF(Q5="Stamspor",Sporskifte_Stamdata!$A$8,Sporskifte_Stamdata!$B$8)</f>
        <v>D og C</v>
      </c>
    </row>
    <row r="7" spans="1:17" ht="15" hidden="1" customHeight="1" thickBot="1" x14ac:dyDescent="0.25">
      <c r="A7" s="176" t="s">
        <v>126</v>
      </c>
      <c r="B7" s="177"/>
      <c r="C7" s="121">
        <v>2</v>
      </c>
      <c r="D7" s="15">
        <v>3</v>
      </c>
      <c r="E7" s="15">
        <v>5</v>
      </c>
      <c r="F7" s="15">
        <v>4</v>
      </c>
      <c r="G7" s="15">
        <v>6</v>
      </c>
      <c r="H7" s="15">
        <v>7</v>
      </c>
      <c r="I7" s="15">
        <v>8</v>
      </c>
      <c r="J7" s="2">
        <v>9</v>
      </c>
      <c r="K7" s="2">
        <v>10</v>
      </c>
      <c r="L7" s="2">
        <v>11</v>
      </c>
      <c r="M7" s="2">
        <v>12</v>
      </c>
      <c r="N7" s="2">
        <v>15</v>
      </c>
      <c r="O7" s="2">
        <v>13</v>
      </c>
      <c r="P7" s="2">
        <v>16</v>
      </c>
      <c r="Q7" s="48">
        <v>14</v>
      </c>
    </row>
    <row r="8" spans="1:17" ht="15" customHeight="1" thickBot="1" x14ac:dyDescent="0.25">
      <c r="A8" s="155" t="s">
        <v>263</v>
      </c>
      <c r="B8" s="156"/>
      <c r="C8" s="116" t="str">
        <f>VLOOKUP(Sporskifte_Stamdata!$C$6,Tabel321[#All],Sporskiftekort!C7,FALSE)</f>
        <v>N/A</v>
      </c>
      <c r="D8" s="123" t="str">
        <f>VLOOKUP(Sporskifte_Stamdata!$C$6,Tabel321[#All],Sporskiftekort!D7,FALSE)</f>
        <v>N/A</v>
      </c>
      <c r="E8" s="123" t="str">
        <f>VLOOKUP(Sporskifte_Stamdata!$C$6,Tabel321[#All],Sporskiftekort!E7,FALSE)</f>
        <v>N/A</v>
      </c>
      <c r="F8" s="123" t="str">
        <f>VLOOKUP(Sporskifte_Stamdata!$C$6,Tabel321[#All],Sporskiftekort!F7,FALSE)</f>
        <v>N/A</v>
      </c>
      <c r="G8" s="123" t="str">
        <f>VLOOKUP(Sporskifte_Stamdata!$C$6,Tabel321[#All],Sporskiftekort!G7,FALSE)</f>
        <v>N/A</v>
      </c>
      <c r="H8" s="123" t="str">
        <f>VLOOKUP(Sporskifte_Stamdata!$C$6,Tabel321[#All],Sporskiftekort!H7,FALSE)</f>
        <v>020</v>
      </c>
      <c r="I8" s="123" t="str">
        <f>VLOOKUP(Sporskifte_Stamdata!$C$6,Tabel321[#All],Sporskiftekort!I7,FALSE)</f>
        <v>020</v>
      </c>
      <c r="J8" s="123" t="str">
        <f>VLOOKUP(Sporskifte_Stamdata!$C$6,Tabel321[#All],Sporskiftekort!J7,FALSE)</f>
        <v>N/A</v>
      </c>
      <c r="K8" s="123" t="str">
        <f>VLOOKUP(Sporskifte_Stamdata!$C$6,Tabel321[#All],Sporskiftekort!K7,FALSE)</f>
        <v>N/A</v>
      </c>
      <c r="L8" s="123" t="str">
        <f>VLOOKUP(Sporskifte_Stamdata!$C$6,Tabel321[#All],Sporskiftekort!L7,FALSE)</f>
        <v>063</v>
      </c>
      <c r="M8" s="123" t="str">
        <f>VLOOKUP(Sporskifte_Stamdata!$C$6,Tabel321[#All],Sporskiftekort!M7,FALSE)</f>
        <v>063</v>
      </c>
      <c r="N8" s="123" t="str">
        <f>VLOOKUP(Sporskifte_Stamdata!$C$6,Tabel321[#All],Sporskiftekort!N7,FALSE)</f>
        <v>N/A</v>
      </c>
      <c r="O8" s="123" t="str">
        <f>VLOOKUP(Sporskifte_Stamdata!$C$6,Tabel321[#All],Sporskiftekort!O7,FALSE)</f>
        <v>N/A</v>
      </c>
      <c r="P8" s="123" t="str">
        <f>VLOOKUP(Sporskifte_Stamdata!$C$6,Tabel321[#All],Sporskiftekort!P7,FALSE)</f>
        <v>N/A</v>
      </c>
      <c r="Q8" s="133" t="str">
        <f>VLOOKUP(Sporskifte_Stamdata!$C$6,Tabel321[#All],Sporskiftekort!Q7,FALSE)</f>
        <v>N/A</v>
      </c>
    </row>
    <row r="9" spans="1:17" ht="15" customHeight="1" x14ac:dyDescent="0.2">
      <c r="A9" s="178" t="s">
        <v>166</v>
      </c>
      <c r="B9" s="179"/>
      <c r="C9" s="26">
        <f>IF(OR(C$2="p",C$2="p1"),VLOOKUP(C$6,Tabel4[],Sporskiftekort!C$7,FALSE)-1300,IF(VLOOKUP(C$6,Tabel4[],Sporskiftekort!C$7,FALSE)=0,"",VLOOKUP(C$6,Tabel4[],Sporskiftekort!C$7,FALSE)+C$4))</f>
        <v>48</v>
      </c>
      <c r="D9" s="12" t="str">
        <f>IF(OR(D$2="p",D$2="p1"),VLOOKUP(D$6,Tabel4[],Sporskiftekort!D$7,FALSE)-1300,IF(VLOOKUP(D$6,Tabel4[],Sporskiftekort!D$7,FALSE)=0,"",VLOOKUP(D$6,Tabel4[],Sporskiftekort!D$7,FALSE)+D$4))</f>
        <v/>
      </c>
      <c r="E9" s="12">
        <f>IF(OR(E$2="p",E$2="p1"),VLOOKUP(E$6,Tabel4[],Sporskiftekort!E$7,FALSE)-1300,IF(VLOOKUP(E$6,Tabel4[],Sporskiftekort!E$7,FALSE)=0,"",VLOOKUP(E$6,Tabel4[],Sporskiftekort!E$7,FALSE)+E$4))</f>
        <v>78</v>
      </c>
      <c r="F9" s="12" t="str">
        <f>IF(OR(F$2="p",F$2="p1"),VLOOKUP(F$6,Tabel4[],Sporskiftekort!F$7,FALSE)-1300,IF(VLOOKUP(F$6,Tabel4[],Sporskiftekort!F$7,FALSE)=0,"",VLOOKUP(F$6,Tabel4[],Sporskiftekort!F$7,FALSE)+F$4))</f>
        <v/>
      </c>
      <c r="G9" s="12">
        <f>IF(OR(G$2="p",G$2="p1"),VLOOKUP(G$6,Tabel4[],Sporskiftekort!G$7,FALSE)-1300,IF(VLOOKUP(G$6,Tabel4[],Sporskiftekort!G$7,FALSE)=0,"",VLOOKUP(G$6,Tabel4[],Sporskiftekort!G$7,FALSE)+G$4))</f>
        <v>78</v>
      </c>
      <c r="H9" s="12">
        <f>IF(OR(H$2="p",H$2="p1"),VLOOKUP(H$6,Tabel4[],Sporskiftekort!H$7,FALSE)-1300,IF(VLOOKUP(H$6,Tabel4[],Sporskiftekort!H$7,FALSE)=0,"",VLOOKUP(H$6,Tabel4[],Sporskiftekort!H$7,FALSE)+H$4))</f>
        <v>51</v>
      </c>
      <c r="I9" s="12">
        <f>IF(OR(I$2="p",I$2="p1"),VLOOKUP(I$6,Tabel4[],Sporskiftekort!I$7,FALSE)-1300,IF(VLOOKUP(I$6,Tabel4[],Sporskiftekort!I$7,FALSE)=0,"",VLOOKUP(I$6,Tabel4[],Sporskiftekort!I$7,FALSE)+I$4))</f>
        <v>53</v>
      </c>
      <c r="J9" s="12">
        <f>IF(OR(J$2="p",J$2="p1"),VLOOKUP(J$6,Tabel4[],Sporskiftekort!J$7,FALSE)-1300,IF(VLOOKUP(J$6,Tabel4[],Sporskiftekort!J$7,FALSE)=0,"",VLOOKUP(J$6,Tabel4[],Sporskiftekort!J$7,FALSE)+J$4))</f>
        <v>43</v>
      </c>
      <c r="K9" s="12">
        <f>IF(OR(K$2="p",K$2="p1"),VLOOKUP(K$6,Tabel4[],Sporskiftekort!K$7,FALSE)-1300,IF(VLOOKUP(K$6,Tabel4[],Sporskiftekort!K$7,FALSE)=0,"",VLOOKUP(K$6,Tabel4[],Sporskiftekort!K$7,FALSE)+K$4))</f>
        <v>45</v>
      </c>
      <c r="L9" s="12">
        <f>IF(OR(L$2="p",L$2="p1"),VLOOKUP(L$6,Tabel4[],Sporskiftekort!L$7,FALSE)-1300,IF(VLOOKUP(L$6,Tabel4[],Sporskiftekort!L$7,FALSE)=0,"",VLOOKUP(L$6,Tabel4[],Sporskiftekort!L$7,FALSE)+L$4))</f>
        <v>43</v>
      </c>
      <c r="M9" s="12">
        <f>IF(OR(M$2="p",M$2="p1"),VLOOKUP(M$6,Tabel4[],Sporskiftekort!M$7,FALSE)-1300,IF(VLOOKUP(M$6,Tabel4[],Sporskiftekort!M$7,FALSE)=0,"",VLOOKUP(M$6,Tabel4[],Sporskiftekort!M$7,FALSE)+M$4))</f>
        <v>45</v>
      </c>
      <c r="N9" s="12" t="str">
        <f>IF(OR(N$2="p",N$2="p1"),VLOOKUP(N$6,Tabel4[],Sporskiftekort!N$7,FALSE)-1300,IF(VLOOKUP(N$6,Tabel4[],Sporskiftekort!N$7,FALSE)=0,"",VLOOKUP(N$6,Tabel4[],Sporskiftekort!N$7,FALSE)+N$4))</f>
        <v/>
      </c>
      <c r="O9" s="12">
        <f>IF(OR(O$2="p",O$2="p1"),VLOOKUP(O$6,Tabel4[],Sporskiftekort!O$7,FALSE)-1300,IF(VLOOKUP(O$6,Tabel4[],Sporskiftekort!O$7,FALSE)=0,"",VLOOKUP(O$6,Tabel4[],Sporskiftekort!O$7,FALSE)+O$4))</f>
        <v>40</v>
      </c>
      <c r="P9" s="12" t="str">
        <f>IF(OR(P$2="p",P$2="p1"),VLOOKUP(P$6,Tabel4[],Sporskiftekort!P$7,FALSE)-1300,IF(VLOOKUP(P$6,Tabel4[],Sporskiftekort!P$7,FALSE)=0,"",VLOOKUP(P$6,Tabel4[],Sporskiftekort!P$7,FALSE)+P$4))</f>
        <v/>
      </c>
      <c r="Q9" s="22">
        <f>IF(OR(Q$2="p",Q$2="p1"),VLOOKUP(Q$6,Tabel4[],Sporskiftekort!Q$7,FALSE)-1300,IF(VLOOKUP(Q$6,Tabel4[],Sporskiftekort!Q$7,FALSE)=0,"",VLOOKUP(Q$6,Tabel4[],Sporskiftekort!Q$7,FALSE)+Q$4))</f>
        <v>41</v>
      </c>
    </row>
    <row r="10" spans="1:17" ht="15" customHeight="1" thickBot="1" x14ac:dyDescent="0.25">
      <c r="A10" s="180"/>
      <c r="B10" s="181"/>
      <c r="C10" s="27">
        <f>IF(OR(C$2="p",C$2="p1"),VLOOKUP(C$6,Tabel46[],Sporskiftekort!C$7,FALSE)-1300,IF(VLOOKUP(C$6,Tabel46[],Sporskiftekort!C$7,FALSE)=0,"",VLOOKUP(C$6,Tabel46[],Sporskiftekort!C$7,FALSE)+C$4))</f>
        <v>37</v>
      </c>
      <c r="D10" s="15">
        <f>IF(VLOOKUP(D$6,Tabel46[],Sporskiftekort!D$7,FALSE)=0,"",VLOOKUP(D$6,Tabel46[],Sporskiftekort!D$7,FALSE))</f>
        <v>60</v>
      </c>
      <c r="E10" s="15" t="str">
        <f>IF(VLOOKUP(E$6,Tabel46[],Sporskiftekort!E$7,FALSE)=0,"",VLOOKUP(E$6,Tabel46[],Sporskiftekort!E$7,FALSE))</f>
        <v/>
      </c>
      <c r="F10" s="15">
        <f>IF(VLOOKUP(F$6,Tabel46[],Sporskiftekort!F$7,FALSE)=0,"",VLOOKUP(F$6,Tabel46[],Sporskiftekort!F$7,FALSE))</f>
        <v>60</v>
      </c>
      <c r="G10" s="15" t="str">
        <f>IF(VLOOKUP(G$6,Tabel46[],Sporskiftekort!G$7,FALSE)=0,"",VLOOKUP(G$6,Tabel46[],Sporskiftekort!G$7,FALSE))</f>
        <v/>
      </c>
      <c r="H10" s="15">
        <f>IF(OR(H$2="p",H$2="p1"),VLOOKUP(H$6,Tabel46[],Sporskiftekort!H$7,FALSE)-1300,IF(VLOOKUP(H$6,Tabel46[],Sporskiftekort!H$7,FALSE)=0,"",VLOOKUP(H$6,Tabel46[],Sporskiftekort!H$7,FALSE)+H$4))</f>
        <v>40</v>
      </c>
      <c r="I10" s="15">
        <f>IF(OR(I$2="p",I$2="p1"),VLOOKUP(I$6,Tabel46[],Sporskiftekort!I$7,FALSE)-1300,IF(VLOOKUP(I$6,Tabel46[],Sporskiftekort!I$7,FALSE)=0,"",VLOOKUP(I$6,Tabel46[],Sporskiftekort!I$7,FALSE)+I$4))</f>
        <v>39</v>
      </c>
      <c r="J10" s="15">
        <f>IF(OR(J$2="p",J$2="p1"),VLOOKUP(J$6,Tabel46[],Sporskiftekort!J$7,FALSE)-1300,IF(VLOOKUP(J$6,Tabel46[],Sporskiftekort!J$7,FALSE)=0,"",VLOOKUP(J$6,Tabel46[],Sporskiftekort!J$7,FALSE)+J$4))</f>
        <v>32</v>
      </c>
      <c r="K10" s="15">
        <f>IF(OR(K$2="p",K$2="p1"),VLOOKUP(K$6,Tabel46[],Sporskiftekort!K$7,FALSE)-1300,IF(VLOOKUP(K$6,Tabel46[],Sporskiftekort!K$7,FALSE)=0,"",VLOOKUP(K$6,Tabel46[],Sporskiftekort!K$7,FALSE)+K$4))</f>
        <v>31</v>
      </c>
      <c r="L10" s="15">
        <f>IF(OR(L$2="p",L$2="p1"),VLOOKUP(L$6,Tabel46[],Sporskiftekort!L$7,FALSE)-1300,IF(VLOOKUP(L$6,Tabel46[],Sporskiftekort!L$7,FALSE)=0,"",VLOOKUP(L$6,Tabel46[],Sporskiftekort!L$7,FALSE)+L$4))</f>
        <v>32</v>
      </c>
      <c r="M10" s="15">
        <f>IF(OR(M$2="p",M$2="p1"),VLOOKUP(M$6,Tabel46[],Sporskiftekort!M$7,FALSE)-1300,IF(VLOOKUP(M$6,Tabel46[],Sporskiftekort!M$7,FALSE)=0,"",VLOOKUP(M$6,Tabel46[],Sporskiftekort!M$7,FALSE)+M$4))</f>
        <v>31</v>
      </c>
      <c r="N10" s="15">
        <f>IF(VLOOKUP(N$6,Tabel46[],Sporskiftekort!N$7,FALSE)=0,"",VLOOKUP(N$6,Tabel46[],Sporskiftekort!N$7,FALSE))</f>
        <v>60</v>
      </c>
      <c r="O10" s="15">
        <f>IF(OR(O$2="p",O$2="p1"),VLOOKUP(O$6,Tabel46[],Sporskiftekort!O$7,FALSE)-1300,IF(VLOOKUP(O$6,Tabel46[],Sporskiftekort!O$7,FALSE)=0,"",VLOOKUP(O$6,Tabel46[],Sporskiftekort!O$7,FALSE)+O$4))</f>
        <v>33</v>
      </c>
      <c r="P10" s="15">
        <f>IF(VLOOKUP(P$6,Tabel46[],Sporskiftekort!P$7,FALSE)=0,"",VLOOKUP(P$6,Tabel46[],Sporskiftekort!P$7,FALSE))</f>
        <v>60</v>
      </c>
      <c r="Q10" s="23">
        <f>IF(OR(Q$2="p",Q$2="p1"),VLOOKUP(Q$6,Tabel46[],Sporskiftekort!Q$7,FALSE)-1300,IF(VLOOKUP(Q$6,Tabel46[],Sporskiftekort!Q$7,FALSE)=0,"",VLOOKUP(Q$6,Tabel46[],Sporskiftekort!Q$7,FALSE)+Q$4))</f>
        <v>33</v>
      </c>
    </row>
    <row r="11" spans="1:17" ht="15" customHeight="1" x14ac:dyDescent="0.2">
      <c r="A11" s="178" t="s">
        <v>165</v>
      </c>
      <c r="B11" s="179"/>
      <c r="C11" s="26">
        <f>IF(OR(C$2="p",C$2="p1"),VLOOKUP(C$6,Tabel47[],Sporskiftekort!C$7,FALSE)-1300,IF(VLOOKUP(C$6,Tabel47[],Sporskiftekort!C$7,FALSE)=0,"",VLOOKUP(C$6,Tabel47[],Sporskiftekort!C$7,FALSE)+C$4))</f>
        <v>50</v>
      </c>
      <c r="D11" s="12" t="str">
        <f>IF(OR(D$2="p",D$2="p1"),VLOOKUP(D$6,Tabel47[],Sporskiftekort!D$7,FALSE)-1300,IF(VLOOKUP(D$6,Tabel47[],Sporskiftekort!D$7,FALSE)=0,"",VLOOKUP(D$6,Tabel47[],Sporskiftekort!D$7,FALSE)+D$4))</f>
        <v/>
      </c>
      <c r="E11" s="12">
        <f>IF(OR(E$2="p",E$2="p1"),VLOOKUP(E$6,Tabel47[],Sporskiftekort!E$7,FALSE)-1300,IF(VLOOKUP(E$6,Tabel47[],Sporskiftekort!E$7,FALSE)=0,"",VLOOKUP(E$6,Tabel47[],Sporskiftekort!E$7,FALSE)+E$4))</f>
        <v>80</v>
      </c>
      <c r="F11" s="12" t="str">
        <f>IF(OR(F$2="p",F$2="p1"),VLOOKUP(F$6,Tabel47[],Sporskiftekort!F$7,FALSE)-1300,IF(VLOOKUP(F$6,Tabel47[],Sporskiftekort!F$7,FALSE)=0,"",VLOOKUP(F$6,Tabel47[],Sporskiftekort!F$7,FALSE)+F$4))</f>
        <v/>
      </c>
      <c r="G11" s="12">
        <f>IF(OR(G$2="p",G$2="p1"),VLOOKUP(G$6,Tabel47[],Sporskiftekort!G$7,FALSE)-1300,IF(VLOOKUP(G$6,Tabel47[],Sporskiftekort!G$7,FALSE)=0,"",VLOOKUP(G$6,Tabel47[],Sporskiftekort!G$7,FALSE)+G$4))</f>
        <v>80</v>
      </c>
      <c r="H11" s="12">
        <f>IF(OR(H$2="p",H$2="p1"),VLOOKUP(H$6,Tabel47[],Sporskiftekort!H$7,FALSE)-1300,IF(VLOOKUP(H$6,Tabel47[],Sporskiftekort!H$7,FALSE)=0,"",VLOOKUP(H$6,Tabel47[],Sporskiftekort!H$7,FALSE)+H$4))</f>
        <v>53</v>
      </c>
      <c r="I11" s="12">
        <f>IF(OR(I$2="p",I$2="p1"),VLOOKUP(I$6,Tabel47[],Sporskiftekort!I$7,FALSE)-1300,IF(VLOOKUP(I$6,Tabel47[],Sporskiftekort!I$7,FALSE)=0,"",VLOOKUP(I$6,Tabel47[],Sporskiftekort!I$7,FALSE)+I$4))</f>
        <v>56</v>
      </c>
      <c r="J11" s="12">
        <f>IF(OR(J$2="p",J$2="p1"),VLOOKUP(J$6,Tabel47[],Sporskiftekort!J$7,FALSE)-1300,IF(VLOOKUP(J$6,Tabel47[],Sporskiftekort!J$7,FALSE)=0,"",VLOOKUP(J$6,Tabel47[],Sporskiftekort!J$7,FALSE)+J$4))</f>
        <v>45</v>
      </c>
      <c r="K11" s="12">
        <f>IF(OR(K$2="p",K$2="p1"),VLOOKUP(K$6,Tabel47[],Sporskiftekort!K$7,FALSE)-1300,IF(VLOOKUP(K$6,Tabel47[],Sporskiftekort!K$7,FALSE)=0,"",VLOOKUP(K$6,Tabel47[],Sporskiftekort!K$7,FALSE)+K$4))</f>
        <v>48</v>
      </c>
      <c r="L11" s="12">
        <f>IF(OR(L$2="p",L$2="p1"),VLOOKUP(L$6,Tabel47[],Sporskiftekort!L$7,FALSE)-1300,IF(VLOOKUP(L$6,Tabel47[],Sporskiftekort!L$7,FALSE)=0,"",VLOOKUP(L$6,Tabel47[],Sporskiftekort!L$7,FALSE)+L$4))</f>
        <v>45</v>
      </c>
      <c r="M11" s="12">
        <f>IF(OR(M$2="p",M$2="p1"),VLOOKUP(M$6,Tabel47[],Sporskiftekort!M$7,FALSE)-1300,IF(VLOOKUP(M$6,Tabel47[],Sporskiftekort!M$7,FALSE)=0,"",VLOOKUP(M$6,Tabel47[],Sporskiftekort!M$7,FALSE)+M$4))</f>
        <v>48</v>
      </c>
      <c r="N11" s="12" t="str">
        <f>IF(OR(N$2="p",N$2="p1"),VLOOKUP(N$6,Tabel47[],Sporskiftekort!N$7,FALSE)-1300,IF(VLOOKUP(N$6,Tabel47[],Sporskiftekort!N$7,FALSE)=0,"",VLOOKUP(N$6,Tabel47[],Sporskiftekort!N$7,FALSE)+N$4))</f>
        <v/>
      </c>
      <c r="O11" s="12">
        <f>IF(OR(O$2="p",O$2="p1"),VLOOKUP(O$6,Tabel47[],Sporskiftekort!O$7,FALSE)-1300,IF(VLOOKUP(O$6,Tabel47[],Sporskiftekort!O$7,FALSE)=0,"",VLOOKUP(O$6,Tabel47[],Sporskiftekort!O$7,FALSE)+O$4))</f>
        <v>41</v>
      </c>
      <c r="P11" s="12" t="str">
        <f>IF(OR(P$2="p",P$2="p1"),VLOOKUP(P$6,Tabel47[],Sporskiftekort!P$7,FALSE)-1300,IF(VLOOKUP(P$6,Tabel47[],Sporskiftekort!P$7,FALSE)=0,"",VLOOKUP(P$6,Tabel47[],Sporskiftekort!P$7,FALSE)+P$4))</f>
        <v/>
      </c>
      <c r="Q11" s="22">
        <f>IF(OR(Q$2="p",Q$2="p1"),VLOOKUP(Q$6,Tabel47[],Sporskiftekort!Q$7,FALSE)-1300,IF(VLOOKUP(Q$6,Tabel47[],Sporskiftekort!Q$7,FALSE)=0,"",VLOOKUP(Q$6,Tabel47[],Sporskiftekort!Q$7,FALSE)+Q$4))</f>
        <v>43</v>
      </c>
    </row>
    <row r="12" spans="1:17" ht="15" customHeight="1" thickBot="1" x14ac:dyDescent="0.25">
      <c r="A12" s="180"/>
      <c r="B12" s="181"/>
      <c r="C12" s="27">
        <f>IF(OR(C$2="p",C$2="p1"),VLOOKUP(C$6,Tabel468[],Sporskiftekort!C$7,FALSE)-1300,IF(VLOOKUP(C$6,Tabel468[],Sporskiftekort!C$7,FALSE)=0,"",VLOOKUP(C$6,Tabel468[],Sporskiftekort!C$7,FALSE)+C$4))</f>
        <v>37</v>
      </c>
      <c r="D12" s="15">
        <f>IF(VLOOKUP(D$6,Tabel468[],Sporskiftekort!D$7,FALSE)=0,"",VLOOKUP(D$6,Tabel468[],Sporskiftekort!D$7,FALSE))</f>
        <v>58</v>
      </c>
      <c r="E12" s="15" t="str">
        <f>IF(VLOOKUP(E$6,Tabel468[],Sporskiftekort!E$7,FALSE)=0,"",VLOOKUP(E$6,Tabel468[],Sporskiftekort!E$7,FALSE))</f>
        <v/>
      </c>
      <c r="F12" s="15">
        <f>IF(VLOOKUP(F$6,Tabel468[],Sporskiftekort!F$7,FALSE)=0,"",VLOOKUP(F$6,Tabel468[],Sporskiftekort!F$7,FALSE))</f>
        <v>58</v>
      </c>
      <c r="G12" s="15" t="str">
        <f>IF(VLOOKUP(G$6,Tabel468[],Sporskiftekort!G$7,FALSE)=0,"",VLOOKUP(G$6,Tabel468[],Sporskiftekort!G$7,FALSE))</f>
        <v/>
      </c>
      <c r="H12" s="15">
        <f>IF(OR(H$2="p",H$2="p1"),VLOOKUP(H$6,Tabel468[],Sporskiftekort!H$7,FALSE)-1300,IF(VLOOKUP(H$6,Tabel468[],Sporskiftekort!H$7,FALSE)=0,"",VLOOKUP(H$6,Tabel468[],Sporskiftekort!H$7,FALSE)+H$4))</f>
        <v>40</v>
      </c>
      <c r="I12" s="15">
        <f>IF(OR(I$2="p",I$2="p1"),VLOOKUP(I$6,Tabel468[],Sporskiftekort!I$7,FALSE)-1300,IF(VLOOKUP(I$6,Tabel468[],Sporskiftekort!I$7,FALSE)=0,"",VLOOKUP(I$6,Tabel468[],Sporskiftekort!I$7,FALSE)+I$4))</f>
        <v>39</v>
      </c>
      <c r="J12" s="15">
        <f>IF(OR(J$2="p",J$2="p1"),VLOOKUP(J$6,Tabel468[],Sporskiftekort!J$7,FALSE)-1300,IF(VLOOKUP(J$6,Tabel468[],Sporskiftekort!J$7,FALSE)=0,"",VLOOKUP(J$6,Tabel468[],Sporskiftekort!J$7,FALSE)+J$4))</f>
        <v>32</v>
      </c>
      <c r="K12" s="15">
        <f>IF(OR(K$2="p",K$2="p1"),VLOOKUP(K$6,Tabel468[],Sporskiftekort!K$7,FALSE)-1300,IF(VLOOKUP(K$6,Tabel468[],Sporskiftekort!K$7,FALSE)=0,"",VLOOKUP(K$6,Tabel468[],Sporskiftekort!K$7,FALSE)+K$4))</f>
        <v>31</v>
      </c>
      <c r="L12" s="15">
        <f>IF(OR(L$2="p",L$2="p1"),VLOOKUP(L$6,Tabel468[],Sporskiftekort!L$7,FALSE)-1300,IF(VLOOKUP(L$6,Tabel468[],Sporskiftekort!L$7,FALSE)=0,"",VLOOKUP(L$6,Tabel468[],Sporskiftekort!L$7,FALSE)+L$4))</f>
        <v>32</v>
      </c>
      <c r="M12" s="15">
        <f>IF(OR(M$2="p",M$2="p1"),VLOOKUP(M$6,Tabel468[],Sporskiftekort!M$7,FALSE)-1300,IF(VLOOKUP(M$6,Tabel468[],Sporskiftekort!M$7,FALSE)=0,"",VLOOKUP(M$6,Tabel468[],Sporskiftekort!M$7,FALSE)+M$4))</f>
        <v>31</v>
      </c>
      <c r="N12" s="15">
        <f>IF(VLOOKUP(N$6,Tabel468[],Sporskiftekort!N$7,FALSE)=0,"",VLOOKUP(N$6,Tabel468[],Sporskiftekort!N$7,FALSE))</f>
        <v>60</v>
      </c>
      <c r="O12" s="15">
        <f>IF(OR(O$2="p",O$2="p1"),VLOOKUP(O$6,Tabel468[],Sporskiftekort!O$7,FALSE)-1300,IF(VLOOKUP(O$6,Tabel468[],Sporskiftekort!O$7,FALSE)=0,"",VLOOKUP(O$6,Tabel468[],Sporskiftekort!O$7,FALSE)+O$4))</f>
        <v>32</v>
      </c>
      <c r="P12" s="15">
        <f>IF(VLOOKUP(P$6,Tabel468[],Sporskiftekort!P$7,FALSE)=0,"",VLOOKUP(P$6,Tabel468[],Sporskiftekort!P$7,FALSE))</f>
        <v>60</v>
      </c>
      <c r="Q12" s="23">
        <f>IF(OR(Q$2="p",Q$2="p1"),VLOOKUP(Q$6,Tabel468[],Sporskiftekort!Q$7,FALSE)-1300,IF(VLOOKUP(Q$6,Tabel468[],Sporskiftekort!Q$7,FALSE)=0,"",VLOOKUP(Q$6,Tabel468[],Sporskiftekort!Q$7,FALSE)+Q$4))</f>
        <v>31</v>
      </c>
    </row>
    <row r="13" spans="1:17" ht="15" customHeight="1" thickBot="1" x14ac:dyDescent="0.25">
      <c r="A13" s="155" t="s">
        <v>76</v>
      </c>
      <c r="B13" s="156"/>
      <c r="C13" s="161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3"/>
    </row>
    <row r="14" spans="1:17" ht="50.1" customHeight="1" thickBot="1" x14ac:dyDescent="0.25">
      <c r="A14" s="157" t="s">
        <v>77</v>
      </c>
      <c r="B14" s="158"/>
      <c r="C14" s="30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1:17" ht="15" customHeight="1" x14ac:dyDescent="0.2">
      <c r="A15" s="159" t="s">
        <v>78</v>
      </c>
      <c r="B15" s="160"/>
      <c r="C15" s="164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6"/>
    </row>
    <row r="16" spans="1:17" ht="15" customHeight="1" thickBot="1" x14ac:dyDescent="0.25">
      <c r="A16" s="31" t="s">
        <v>80</v>
      </c>
      <c r="B16" s="32" t="s">
        <v>79</v>
      </c>
      <c r="C16" s="167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9"/>
    </row>
    <row r="17" spans="1:17" ht="15" customHeight="1" x14ac:dyDescent="0.2">
      <c r="A17" s="43"/>
      <c r="B17" s="44"/>
      <c r="C17" s="37"/>
      <c r="D17" s="34"/>
      <c r="E17" s="34"/>
      <c r="F17" s="34"/>
      <c r="G17" s="34"/>
      <c r="H17" s="33"/>
      <c r="I17" s="33"/>
      <c r="J17" s="33"/>
      <c r="K17" s="33"/>
      <c r="L17" s="33"/>
      <c r="M17" s="33"/>
      <c r="N17" s="34"/>
      <c r="O17" s="33"/>
      <c r="P17" s="34"/>
      <c r="Q17" s="38"/>
    </row>
    <row r="18" spans="1:17" ht="15" customHeight="1" x14ac:dyDescent="0.2">
      <c r="A18" s="45"/>
      <c r="B18" s="46"/>
      <c r="C18" s="39"/>
      <c r="D18" s="10"/>
      <c r="E18" s="10"/>
      <c r="F18" s="10"/>
      <c r="G18" s="10"/>
      <c r="H18" s="35"/>
      <c r="I18" s="35"/>
      <c r="J18" s="35"/>
      <c r="K18" s="35"/>
      <c r="L18" s="35"/>
      <c r="M18" s="35"/>
      <c r="N18" s="10"/>
      <c r="O18" s="35"/>
      <c r="P18" s="10"/>
      <c r="Q18" s="40"/>
    </row>
    <row r="19" spans="1:17" ht="15" customHeight="1" x14ac:dyDescent="0.2">
      <c r="A19" s="45"/>
      <c r="B19" s="46"/>
      <c r="C19" s="39"/>
      <c r="D19" s="10"/>
      <c r="E19" s="10"/>
      <c r="F19" s="10"/>
      <c r="G19" s="10"/>
      <c r="H19" s="35"/>
      <c r="I19" s="35"/>
      <c r="J19" s="35"/>
      <c r="K19" s="35"/>
      <c r="L19" s="35"/>
      <c r="M19" s="35"/>
      <c r="N19" s="10"/>
      <c r="O19" s="35"/>
      <c r="P19" s="10"/>
      <c r="Q19" s="40"/>
    </row>
    <row r="20" spans="1:17" ht="15" customHeight="1" x14ac:dyDescent="0.2">
      <c r="A20" s="45"/>
      <c r="B20" s="46"/>
      <c r="C20" s="39"/>
      <c r="D20" s="10"/>
      <c r="E20" s="10"/>
      <c r="F20" s="10"/>
      <c r="G20" s="10"/>
      <c r="H20" s="35"/>
      <c r="I20" s="35"/>
      <c r="J20" s="35"/>
      <c r="K20" s="35"/>
      <c r="L20" s="35"/>
      <c r="M20" s="35"/>
      <c r="N20" s="10"/>
      <c r="O20" s="35"/>
      <c r="P20" s="10"/>
      <c r="Q20" s="40"/>
    </row>
    <row r="21" spans="1:17" ht="15" customHeight="1" x14ac:dyDescent="0.2">
      <c r="A21" s="45"/>
      <c r="B21" s="46"/>
      <c r="C21" s="39"/>
      <c r="D21" s="10"/>
      <c r="E21" s="10"/>
      <c r="F21" s="10"/>
      <c r="G21" s="10"/>
      <c r="H21" s="35"/>
      <c r="I21" s="35"/>
      <c r="J21" s="35"/>
      <c r="K21" s="35"/>
      <c r="L21" s="35"/>
      <c r="M21" s="35"/>
      <c r="N21" s="10"/>
      <c r="O21" s="35"/>
      <c r="P21" s="10"/>
      <c r="Q21" s="40"/>
    </row>
    <row r="22" spans="1:17" ht="15" customHeight="1" x14ac:dyDescent="0.2">
      <c r="A22" s="45"/>
      <c r="B22" s="46"/>
      <c r="C22" s="39"/>
      <c r="D22" s="10"/>
      <c r="E22" s="10"/>
      <c r="F22" s="10"/>
      <c r="G22" s="10"/>
      <c r="H22" s="35"/>
      <c r="I22" s="35"/>
      <c r="J22" s="35"/>
      <c r="K22" s="35"/>
      <c r="L22" s="35"/>
      <c r="M22" s="35"/>
      <c r="N22" s="10"/>
      <c r="O22" s="35"/>
      <c r="P22" s="10"/>
      <c r="Q22" s="40"/>
    </row>
    <row r="23" spans="1:17" ht="15" customHeight="1" x14ac:dyDescent="0.2">
      <c r="A23" s="45"/>
      <c r="B23" s="46"/>
      <c r="C23" s="39"/>
      <c r="D23" s="10"/>
      <c r="E23" s="10"/>
      <c r="F23" s="10"/>
      <c r="G23" s="10"/>
      <c r="H23" s="35"/>
      <c r="I23" s="35"/>
      <c r="J23" s="35"/>
      <c r="K23" s="35"/>
      <c r="L23" s="35"/>
      <c r="M23" s="35"/>
      <c r="N23" s="10"/>
      <c r="O23" s="35"/>
      <c r="P23" s="10"/>
      <c r="Q23" s="40"/>
    </row>
    <row r="24" spans="1:17" ht="15" customHeight="1" x14ac:dyDescent="0.2">
      <c r="A24" s="45"/>
      <c r="B24" s="46"/>
      <c r="C24" s="39"/>
      <c r="D24" s="10"/>
      <c r="E24" s="10"/>
      <c r="F24" s="10"/>
      <c r="G24" s="10"/>
      <c r="H24" s="35"/>
      <c r="I24" s="35"/>
      <c r="J24" s="35"/>
      <c r="K24" s="35"/>
      <c r="L24" s="35"/>
      <c r="M24" s="35"/>
      <c r="N24" s="10"/>
      <c r="O24" s="35"/>
      <c r="P24" s="10"/>
      <c r="Q24" s="40"/>
    </row>
    <row r="25" spans="1:17" ht="15" customHeight="1" x14ac:dyDescent="0.2">
      <c r="A25" s="45"/>
      <c r="B25" s="46"/>
      <c r="C25" s="39"/>
      <c r="D25" s="10"/>
      <c r="E25" s="10"/>
      <c r="F25" s="10"/>
      <c r="G25" s="10"/>
      <c r="H25" s="35"/>
      <c r="I25" s="35"/>
      <c r="J25" s="35"/>
      <c r="K25" s="35"/>
      <c r="L25" s="35"/>
      <c r="M25" s="35"/>
      <c r="N25" s="10"/>
      <c r="O25" s="35"/>
      <c r="P25" s="10"/>
      <c r="Q25" s="40"/>
    </row>
    <row r="26" spans="1:17" ht="15" customHeight="1" x14ac:dyDescent="0.2">
      <c r="A26" s="45"/>
      <c r="B26" s="46"/>
      <c r="C26" s="39"/>
      <c r="D26" s="10"/>
      <c r="E26" s="10"/>
      <c r="F26" s="10"/>
      <c r="G26" s="10"/>
      <c r="H26" s="35"/>
      <c r="I26" s="35"/>
      <c r="J26" s="35"/>
      <c r="K26" s="35"/>
      <c r="L26" s="35"/>
      <c r="M26" s="35"/>
      <c r="N26" s="10"/>
      <c r="O26" s="35"/>
      <c r="P26" s="10"/>
      <c r="Q26" s="40"/>
    </row>
    <row r="27" spans="1:17" ht="15" customHeight="1" x14ac:dyDescent="0.2">
      <c r="A27" s="45"/>
      <c r="B27" s="46"/>
      <c r="C27" s="39"/>
      <c r="D27" s="10"/>
      <c r="E27" s="10"/>
      <c r="F27" s="10"/>
      <c r="G27" s="10"/>
      <c r="H27" s="35"/>
      <c r="I27" s="35"/>
      <c r="J27" s="35"/>
      <c r="K27" s="35"/>
      <c r="L27" s="35"/>
      <c r="M27" s="35"/>
      <c r="N27" s="10"/>
      <c r="O27" s="35"/>
      <c r="P27" s="10"/>
      <c r="Q27" s="40"/>
    </row>
    <row r="28" spans="1:17" ht="15" customHeight="1" x14ac:dyDescent="0.2">
      <c r="A28" s="45"/>
      <c r="B28" s="46"/>
      <c r="C28" s="39"/>
      <c r="D28" s="10"/>
      <c r="E28" s="10"/>
      <c r="F28" s="10"/>
      <c r="G28" s="10"/>
      <c r="H28" s="35"/>
      <c r="I28" s="35"/>
      <c r="J28" s="35"/>
      <c r="K28" s="35"/>
      <c r="L28" s="35"/>
      <c r="M28" s="35"/>
      <c r="N28" s="10"/>
      <c r="O28" s="35"/>
      <c r="P28" s="10"/>
      <c r="Q28" s="40"/>
    </row>
    <row r="29" spans="1:17" ht="15" customHeight="1" x14ac:dyDescent="0.2">
      <c r="A29" s="45"/>
      <c r="B29" s="46"/>
      <c r="C29" s="39"/>
      <c r="D29" s="10"/>
      <c r="E29" s="10"/>
      <c r="F29" s="10"/>
      <c r="G29" s="10"/>
      <c r="H29" s="35"/>
      <c r="I29" s="35"/>
      <c r="J29" s="35"/>
      <c r="K29" s="35"/>
      <c r="L29" s="35"/>
      <c r="M29" s="35"/>
      <c r="N29" s="10"/>
      <c r="O29" s="35"/>
      <c r="P29" s="10"/>
      <c r="Q29" s="40"/>
    </row>
    <row r="30" spans="1:17" ht="15" customHeight="1" x14ac:dyDescent="0.2">
      <c r="A30" s="45"/>
      <c r="B30" s="46"/>
      <c r="C30" s="39"/>
      <c r="D30" s="10"/>
      <c r="E30" s="10"/>
      <c r="F30" s="10"/>
      <c r="G30" s="10"/>
      <c r="H30" s="35"/>
      <c r="I30" s="35"/>
      <c r="J30" s="35"/>
      <c r="K30" s="35"/>
      <c r="L30" s="35"/>
      <c r="M30" s="35"/>
      <c r="N30" s="10"/>
      <c r="O30" s="35"/>
      <c r="P30" s="10"/>
      <c r="Q30" s="40"/>
    </row>
    <row r="31" spans="1:17" ht="15" customHeight="1" x14ac:dyDescent="0.2">
      <c r="A31" s="45"/>
      <c r="B31" s="46"/>
      <c r="C31" s="39"/>
      <c r="D31" s="10"/>
      <c r="E31" s="10"/>
      <c r="F31" s="10"/>
      <c r="G31" s="10"/>
      <c r="H31" s="35"/>
      <c r="I31" s="35"/>
      <c r="J31" s="35"/>
      <c r="K31" s="35"/>
      <c r="L31" s="35"/>
      <c r="M31" s="35"/>
      <c r="N31" s="10"/>
      <c r="O31" s="35"/>
      <c r="P31" s="10"/>
      <c r="Q31" s="40"/>
    </row>
    <row r="32" spans="1:17" ht="15" customHeight="1" x14ac:dyDescent="0.2">
      <c r="A32" s="45"/>
      <c r="B32" s="46"/>
      <c r="C32" s="39"/>
      <c r="D32" s="10"/>
      <c r="E32" s="10"/>
      <c r="F32" s="10" t="s">
        <v>155</v>
      </c>
      <c r="G32" s="10"/>
      <c r="H32" s="35"/>
      <c r="I32" s="35"/>
      <c r="J32" s="35"/>
      <c r="K32" s="35"/>
      <c r="L32" s="35"/>
      <c r="M32" s="35"/>
      <c r="N32" s="10"/>
      <c r="O32" s="35"/>
      <c r="P32" s="10"/>
      <c r="Q32" s="40"/>
    </row>
    <row r="33" spans="1:17" ht="15" customHeight="1" x14ac:dyDescent="0.2">
      <c r="A33" s="45"/>
      <c r="B33" s="46"/>
      <c r="C33" s="39"/>
      <c r="D33" s="10"/>
      <c r="E33" s="10"/>
      <c r="F33" s="10"/>
      <c r="G33" s="10"/>
      <c r="H33" s="35"/>
      <c r="I33" s="35"/>
      <c r="J33" s="35"/>
      <c r="K33" s="35"/>
      <c r="L33" s="35"/>
      <c r="M33" s="35"/>
      <c r="N33" s="10"/>
      <c r="O33" s="35"/>
      <c r="P33" s="10"/>
      <c r="Q33" s="40"/>
    </row>
    <row r="34" spans="1:17" ht="15" customHeight="1" x14ac:dyDescent="0.2">
      <c r="A34" s="45"/>
      <c r="B34" s="46"/>
      <c r="C34" s="39"/>
      <c r="D34" s="10"/>
      <c r="E34" s="10"/>
      <c r="F34" s="10"/>
      <c r="G34" s="10"/>
      <c r="H34" s="35"/>
      <c r="I34" s="35" t="s">
        <v>155</v>
      </c>
      <c r="J34" s="35"/>
      <c r="K34" s="35"/>
      <c r="L34" s="35"/>
      <c r="M34" s="35"/>
      <c r="N34" s="10"/>
      <c r="O34" s="35"/>
      <c r="P34" s="10"/>
      <c r="Q34" s="40"/>
    </row>
    <row r="35" spans="1:17" ht="15" customHeight="1" x14ac:dyDescent="0.2">
      <c r="A35" s="45"/>
      <c r="B35" s="46"/>
      <c r="C35" s="39"/>
      <c r="D35" s="10"/>
      <c r="E35" s="10"/>
      <c r="F35" s="10"/>
      <c r="G35" s="10"/>
      <c r="H35" s="35"/>
      <c r="I35" s="35"/>
      <c r="J35" s="35"/>
      <c r="K35" s="35"/>
      <c r="L35" s="35"/>
      <c r="M35" s="35"/>
      <c r="N35" s="10"/>
      <c r="O35" s="35"/>
      <c r="P35" s="10"/>
      <c r="Q35" s="40"/>
    </row>
    <row r="36" spans="1:17" ht="15" customHeight="1" thickBot="1" x14ac:dyDescent="0.25">
      <c r="A36" s="47"/>
      <c r="B36" s="48"/>
      <c r="C36" s="41"/>
      <c r="D36" s="2"/>
      <c r="E36" s="2"/>
      <c r="F36" s="2"/>
      <c r="G36" s="2"/>
      <c r="H36" s="36"/>
      <c r="I36" s="36"/>
      <c r="J36" s="36"/>
      <c r="K36" s="36"/>
      <c r="L36" s="36"/>
      <c r="M36" s="36"/>
      <c r="N36" s="2"/>
      <c r="O36" s="36"/>
      <c r="P36" s="2"/>
      <c r="Q36" s="42"/>
    </row>
  </sheetData>
  <mergeCells count="14">
    <mergeCell ref="A1:Q1"/>
    <mergeCell ref="A13:B13"/>
    <mergeCell ref="A14:B14"/>
    <mergeCell ref="A15:B15"/>
    <mergeCell ref="C13:Q13"/>
    <mergeCell ref="C15:Q16"/>
    <mergeCell ref="A4:B4"/>
    <mergeCell ref="A5:B5"/>
    <mergeCell ref="A6:B6"/>
    <mergeCell ref="A7:B7"/>
    <mergeCell ref="A9:B10"/>
    <mergeCell ref="A11:B12"/>
    <mergeCell ref="A2:B3"/>
    <mergeCell ref="A8:B8"/>
  </mergeCells>
  <conditionalFormatting sqref="C17:C36">
    <cfRule type="containsBlanks" priority="93" stopIfTrue="1">
      <formula>LEN(TRIM(C17))=0</formula>
    </cfRule>
    <cfRule type="cellIs" dxfId="308" priority="94" operator="notBetween">
      <formula>C$12</formula>
      <formula>C$11</formula>
    </cfRule>
    <cfRule type="cellIs" dxfId="307" priority="95" operator="notBetween">
      <formula>C$10</formula>
      <formula>C$9</formula>
    </cfRule>
  </conditionalFormatting>
  <conditionalFormatting sqref="H17:H36">
    <cfRule type="containsBlanks" priority="40" stopIfTrue="1">
      <formula>LEN(TRIM(H17))=0</formula>
    </cfRule>
    <cfRule type="cellIs" dxfId="306" priority="41" operator="notBetween">
      <formula>H$12</formula>
      <formula>H$11</formula>
    </cfRule>
    <cfRule type="cellIs" dxfId="305" priority="42" operator="notBetween">
      <formula>H$10</formula>
      <formula>H$9</formula>
    </cfRule>
  </conditionalFormatting>
  <conditionalFormatting sqref="I17:I36">
    <cfRule type="containsBlanks" priority="37" stopIfTrue="1">
      <formula>LEN(TRIM(I17))=0</formula>
    </cfRule>
    <cfRule type="cellIs" dxfId="304" priority="38" operator="notBetween">
      <formula>I$12</formula>
      <formula>I$11</formula>
    </cfRule>
    <cfRule type="cellIs" dxfId="303" priority="39" operator="notBetween">
      <formula>I$10</formula>
      <formula>I$9</formula>
    </cfRule>
  </conditionalFormatting>
  <conditionalFormatting sqref="J17:J36">
    <cfRule type="containsBlanks" priority="34" stopIfTrue="1">
      <formula>LEN(TRIM(J17))=0</formula>
    </cfRule>
    <cfRule type="cellIs" dxfId="302" priority="35" operator="notBetween">
      <formula>J$12</formula>
      <formula>J$11</formula>
    </cfRule>
    <cfRule type="cellIs" dxfId="301" priority="36" operator="notBetween">
      <formula>J$10</formula>
      <formula>J$9</formula>
    </cfRule>
  </conditionalFormatting>
  <conditionalFormatting sqref="K17:K36">
    <cfRule type="containsBlanks" priority="31" stopIfTrue="1">
      <formula>LEN(TRIM(K17))=0</formula>
    </cfRule>
    <cfRule type="cellIs" dxfId="300" priority="32" operator="notBetween">
      <formula>K$12</formula>
      <formula>K$11</formula>
    </cfRule>
    <cfRule type="cellIs" dxfId="299" priority="33" operator="notBetween">
      <formula>K$10</formula>
      <formula>K$9</formula>
    </cfRule>
  </conditionalFormatting>
  <conditionalFormatting sqref="L17:L36">
    <cfRule type="containsBlanks" priority="28" stopIfTrue="1">
      <formula>LEN(TRIM(L17))=0</formula>
    </cfRule>
    <cfRule type="cellIs" dxfId="298" priority="29" operator="notBetween">
      <formula>L$12</formula>
      <formula>L$11</formula>
    </cfRule>
    <cfRule type="cellIs" dxfId="297" priority="30" operator="notBetween">
      <formula>L$10</formula>
      <formula>L$9</formula>
    </cfRule>
  </conditionalFormatting>
  <conditionalFormatting sqref="M17:M36">
    <cfRule type="containsBlanks" priority="25" stopIfTrue="1">
      <formula>LEN(TRIM(M17))=0</formula>
    </cfRule>
    <cfRule type="cellIs" dxfId="296" priority="26" operator="notBetween">
      <formula>M$12</formula>
      <formula>M$11</formula>
    </cfRule>
    <cfRule type="cellIs" dxfId="295" priority="27" operator="notBetween">
      <formula>M$10</formula>
      <formula>M$9</formula>
    </cfRule>
  </conditionalFormatting>
  <conditionalFormatting sqref="O17:O36">
    <cfRule type="containsBlanks" priority="22" stopIfTrue="1">
      <formula>LEN(TRIM(O17))=0</formula>
    </cfRule>
    <cfRule type="cellIs" dxfId="294" priority="23" operator="notBetween">
      <formula>O$12</formula>
      <formula>O$11</formula>
    </cfRule>
    <cfRule type="cellIs" dxfId="293" priority="24" operator="notBetween">
      <formula>O$10</formula>
      <formula>O$9</formula>
    </cfRule>
  </conditionalFormatting>
  <conditionalFormatting sqref="Q17:Q36">
    <cfRule type="containsBlanks" priority="19" stopIfTrue="1">
      <formula>LEN(TRIM(Q17))=0</formula>
    </cfRule>
    <cfRule type="cellIs" dxfId="292" priority="20" operator="notBetween">
      <formula>Q$12</formula>
      <formula>Q$11</formula>
    </cfRule>
    <cfRule type="cellIs" dxfId="291" priority="21" operator="notBetween">
      <formula>Q$10</formula>
      <formula>Q$9</formula>
    </cfRule>
  </conditionalFormatting>
  <conditionalFormatting sqref="D17:D36">
    <cfRule type="containsBlanks" priority="16" stopIfTrue="1">
      <formula>LEN(TRIM(D17))=0</formula>
    </cfRule>
    <cfRule type="cellIs" dxfId="290" priority="17" operator="lessThan">
      <formula>D$12</formula>
    </cfRule>
    <cfRule type="cellIs" dxfId="289" priority="18" operator="lessThan">
      <formula>D$10</formula>
    </cfRule>
  </conditionalFormatting>
  <conditionalFormatting sqref="F17:F36">
    <cfRule type="containsBlanks" priority="13" stopIfTrue="1">
      <formula>LEN(TRIM(F17))=0</formula>
    </cfRule>
    <cfRule type="cellIs" dxfId="288" priority="14" operator="lessThan">
      <formula>F$12</formula>
    </cfRule>
    <cfRule type="cellIs" dxfId="287" priority="15" operator="lessThan">
      <formula>F$10</formula>
    </cfRule>
  </conditionalFormatting>
  <conditionalFormatting sqref="N17:N36">
    <cfRule type="containsBlanks" priority="10" stopIfTrue="1">
      <formula>LEN(TRIM(N17))=0</formula>
    </cfRule>
    <cfRule type="cellIs" dxfId="286" priority="11" operator="lessThan">
      <formula>N$12</formula>
    </cfRule>
    <cfRule type="cellIs" dxfId="285" priority="12" operator="lessThan">
      <formula>N$10</formula>
    </cfRule>
  </conditionalFormatting>
  <conditionalFormatting sqref="P17:P36">
    <cfRule type="containsBlanks" priority="7" stopIfTrue="1">
      <formula>LEN(TRIM(P17))=0</formula>
    </cfRule>
    <cfRule type="cellIs" dxfId="284" priority="8" operator="lessThan">
      <formula>P$12</formula>
    </cfRule>
    <cfRule type="cellIs" dxfId="283" priority="9" operator="lessThan">
      <formula>P$10</formula>
    </cfRule>
  </conditionalFormatting>
  <conditionalFormatting sqref="E17:E36">
    <cfRule type="containsBlanks" priority="4" stopIfTrue="1">
      <formula>LEN(TRIM(E17))=0</formula>
    </cfRule>
    <cfRule type="cellIs" dxfId="282" priority="5" operator="greaterThan">
      <formula>E$11</formula>
    </cfRule>
    <cfRule type="cellIs" dxfId="281" priority="6" operator="greaterThan">
      <formula>E$9</formula>
    </cfRule>
  </conditionalFormatting>
  <conditionalFormatting sqref="G17:G36">
    <cfRule type="containsBlanks" priority="1" stopIfTrue="1">
      <formula>LEN(TRIM(G17))=0</formula>
    </cfRule>
    <cfRule type="cellIs" dxfId="280" priority="2" operator="greaterThan">
      <formula>G$11</formula>
    </cfRule>
    <cfRule type="cellIs" dxfId="279" priority="3" operator="greaterThan">
      <formula>G$9</formula>
    </cfRule>
  </conditionalFormatting>
  <dataValidations disablePrompts="1" count="1">
    <dataValidation type="textLength" allowBlank="1" showInputMessage="1" showErrorMessage="1" promptTitle="Ugyldige Initialer" prompt="Initialer skal være mellem 3 og 5 bogstaver" sqref="B17:B36">
      <formula1>3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Footer>&amp;L&amp;"ariel,Normal"&amp;6&amp;A
&amp;F
&amp;Z&amp;F&amp;9
&amp;C&amp;"Arial,Normal"&amp;9Side &amp;P af &amp;N&amp;R&amp;"ariel,Normal"&amp;6&amp;D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topLeftCell="A4" zoomScale="145" zoomScaleNormal="145" zoomScaleSheetLayoutView="100" workbookViewId="0">
      <selection activeCell="E34" sqref="E34"/>
    </sheetView>
  </sheetViews>
  <sheetFormatPr defaultRowHeight="12" x14ac:dyDescent="0.2"/>
  <cols>
    <col min="1" max="1" width="80.7109375" style="1" customWidth="1"/>
    <col min="2" max="2" width="20.7109375" style="1" customWidth="1"/>
    <col min="3" max="3" width="60.7109375" style="1" customWidth="1"/>
    <col min="4" max="16384" width="9.140625" style="1"/>
  </cols>
  <sheetData>
    <row r="1" spans="1:3" ht="15" customHeight="1" x14ac:dyDescent="0.2">
      <c r="A1" s="59" t="s">
        <v>24</v>
      </c>
      <c r="B1" s="59" t="s">
        <v>152</v>
      </c>
      <c r="C1" s="59" t="s">
        <v>153</v>
      </c>
    </row>
    <row r="2" spans="1:3" ht="15" customHeight="1" x14ac:dyDescent="0.2">
      <c r="A2" s="60" t="str">
        <f>Sporskifte_Stamdata!A2</f>
        <v>Avedøre Havnevej</v>
      </c>
      <c r="B2" s="60" t="str">
        <f>Sporskifte_Stamdata!C2</f>
        <v>N101</v>
      </c>
      <c r="C2" s="60">
        <f>Sporskifte_Stamdata!H2</f>
        <v>14526</v>
      </c>
    </row>
    <row r="3" spans="1:3" x14ac:dyDescent="0.2">
      <c r="A3" s="190"/>
      <c r="B3" s="188" t="s">
        <v>154</v>
      </c>
      <c r="C3" s="189"/>
    </row>
    <row r="4" spans="1:3" ht="409.5" customHeight="1" x14ac:dyDescent="0.2">
      <c r="A4" s="190"/>
      <c r="B4" s="186"/>
      <c r="C4" s="187"/>
    </row>
  </sheetData>
  <mergeCells count="3">
    <mergeCell ref="B4:C4"/>
    <mergeCell ref="B3:C3"/>
    <mergeCell ref="A3:A4"/>
  </mergeCells>
  <pageMargins left="0.23622047244094491" right="0.23622047244094491" top="0.74803149606299213" bottom="0.74803149606299213" header="0.31496062992125984" footer="0.31496062992125984"/>
  <pageSetup paperSize="9" scale="88" orientation="landscape" r:id="rId1"/>
  <headerFooter>
    <oddFooter>&amp;L&amp;"ariel,Normal"&amp;6&amp;A
&amp;F
&amp;Z&amp;F&amp;9
&amp;C&amp;"Arial,Normal"&amp;9Side &amp;P af &amp;N&amp;R&amp;"ariel,Normal"&amp;6&amp;D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zoomScaleNormal="100" workbookViewId="0">
      <selection activeCell="A8" sqref="A8:B8"/>
    </sheetView>
  </sheetViews>
  <sheetFormatPr defaultRowHeight="12" x14ac:dyDescent="0.2"/>
  <cols>
    <col min="1" max="1" width="20.7109375" style="1" customWidth="1"/>
    <col min="2" max="2" width="10.7109375" style="1" customWidth="1"/>
    <col min="3" max="19" width="7.7109375" style="1" customWidth="1"/>
    <col min="20" max="16384" width="9.140625" style="1"/>
  </cols>
  <sheetData>
    <row r="1" spans="1:19" ht="39.950000000000003" customHeight="1" thickBot="1" x14ac:dyDescent="0.25">
      <c r="A1" s="199" t="s">
        <v>83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ht="15" customHeight="1" x14ac:dyDescent="0.2">
      <c r="A2" s="172"/>
      <c r="B2" s="173"/>
      <c r="C2" s="26" t="s">
        <v>84</v>
      </c>
      <c r="D2" s="12" t="s">
        <v>85</v>
      </c>
      <c r="E2" s="12" t="s">
        <v>86</v>
      </c>
      <c r="F2" s="12" t="s">
        <v>87</v>
      </c>
      <c r="G2" s="12" t="s">
        <v>88</v>
      </c>
      <c r="H2" s="12" t="s">
        <v>89</v>
      </c>
      <c r="I2" s="12" t="s">
        <v>90</v>
      </c>
      <c r="J2" s="12" t="s">
        <v>91</v>
      </c>
      <c r="K2" s="12" t="s">
        <v>92</v>
      </c>
      <c r="L2" s="12" t="s">
        <v>93</v>
      </c>
      <c r="M2" s="12" t="s">
        <v>94</v>
      </c>
      <c r="N2" s="12" t="s">
        <v>95</v>
      </c>
      <c r="O2" s="12" t="s">
        <v>96</v>
      </c>
      <c r="P2" s="12" t="s">
        <v>97</v>
      </c>
      <c r="Q2" s="12" t="s">
        <v>98</v>
      </c>
      <c r="R2" s="12" t="s">
        <v>99</v>
      </c>
      <c r="S2" s="22" t="s">
        <v>100</v>
      </c>
    </row>
    <row r="3" spans="1:19" ht="15" customHeight="1" thickBot="1" x14ac:dyDescent="0.25">
      <c r="A3" s="176"/>
      <c r="B3" s="177"/>
      <c r="C3" s="27" t="s">
        <v>71</v>
      </c>
      <c r="D3" s="15" t="s">
        <v>71</v>
      </c>
      <c r="E3" s="15" t="s">
        <v>71</v>
      </c>
      <c r="F3" s="15" t="s">
        <v>71</v>
      </c>
      <c r="G3" s="15" t="s">
        <v>71</v>
      </c>
      <c r="H3" s="15" t="s">
        <v>71</v>
      </c>
      <c r="I3" s="15" t="s">
        <v>71</v>
      </c>
      <c r="J3" s="15" t="s">
        <v>71</v>
      </c>
      <c r="K3" s="15" t="s">
        <v>71</v>
      </c>
      <c r="L3" s="15" t="s">
        <v>71</v>
      </c>
      <c r="M3" s="15" t="s">
        <v>71</v>
      </c>
      <c r="N3" s="15" t="s">
        <v>71</v>
      </c>
      <c r="O3" s="15" t="s">
        <v>71</v>
      </c>
      <c r="P3" s="15" t="s">
        <v>71</v>
      </c>
      <c r="Q3" s="15" t="s">
        <v>71</v>
      </c>
      <c r="R3" s="15" t="s">
        <v>71</v>
      </c>
      <c r="S3" s="23" t="s">
        <v>71</v>
      </c>
    </row>
    <row r="4" spans="1:19" ht="15" hidden="1" customHeight="1" x14ac:dyDescent="0.2">
      <c r="A4" s="172" t="s">
        <v>75</v>
      </c>
      <c r="B4" s="173"/>
      <c r="C4" s="26" t="s">
        <v>127</v>
      </c>
      <c r="D4" s="12" t="s">
        <v>127</v>
      </c>
      <c r="E4" s="12" t="s">
        <v>127</v>
      </c>
      <c r="F4" s="12" t="s">
        <v>127</v>
      </c>
      <c r="G4" s="12" t="s">
        <v>127</v>
      </c>
      <c r="H4" s="12" t="s">
        <v>127</v>
      </c>
      <c r="I4" s="12" t="s">
        <v>127</v>
      </c>
      <c r="J4" s="12" t="s">
        <v>127</v>
      </c>
      <c r="K4" s="12" t="s">
        <v>127</v>
      </c>
      <c r="L4" s="12" t="s">
        <v>127</v>
      </c>
      <c r="M4" s="12" t="s">
        <v>127</v>
      </c>
      <c r="N4" s="12" t="s">
        <v>127</v>
      </c>
      <c r="O4" s="12" t="s">
        <v>127</v>
      </c>
      <c r="P4" s="12" t="s">
        <v>127</v>
      </c>
      <c r="Q4" s="12" t="s">
        <v>127</v>
      </c>
      <c r="R4" s="12" t="s">
        <v>127</v>
      </c>
      <c r="S4" s="22" t="s">
        <v>127</v>
      </c>
    </row>
    <row r="5" spans="1:19" ht="15" hidden="1" customHeight="1" x14ac:dyDescent="0.2">
      <c r="A5" s="174" t="s">
        <v>47</v>
      </c>
      <c r="B5" s="175"/>
      <c r="C5" s="29" t="str">
        <f>IF(C4="Stamspor",Sporskifte_Stamdata!$A$8,Sporskifte_Stamdata!$B$8)</f>
        <v>B, A og A1</v>
      </c>
      <c r="D5" s="9" t="str">
        <f>IF(D4="Stamspor",Sporskifte_Stamdata!$A$8,Sporskifte_Stamdata!$B$8)</f>
        <v>B, A og A1</v>
      </c>
      <c r="E5" s="9" t="str">
        <f>IF(E4="Stamspor",Sporskifte_Stamdata!$A$8,Sporskifte_Stamdata!$B$8)</f>
        <v>B, A og A1</v>
      </c>
      <c r="F5" s="9" t="str">
        <f>IF(F4="Stamspor",Sporskifte_Stamdata!$A$8,Sporskifte_Stamdata!$B$8)</f>
        <v>B, A og A1</v>
      </c>
      <c r="G5" s="9" t="str">
        <f>IF(G4="Stamspor",Sporskifte_Stamdata!$A$8,Sporskifte_Stamdata!$B$8)</f>
        <v>B, A og A1</v>
      </c>
      <c r="H5" s="9" t="str">
        <f>IF(H4="Stamspor",Sporskifte_Stamdata!$A$8,Sporskifte_Stamdata!$B$8)</f>
        <v>B, A og A1</v>
      </c>
      <c r="I5" s="9" t="str">
        <f>IF(I4="Stamspor",Sporskifte_Stamdata!$A$8,Sporskifte_Stamdata!$B$8)</f>
        <v>B, A og A1</v>
      </c>
      <c r="J5" s="9" t="str">
        <f>IF(J4="Stamspor",Sporskifte_Stamdata!$A$8,Sporskifte_Stamdata!$B$8)</f>
        <v>B, A og A1</v>
      </c>
      <c r="K5" s="9" t="str">
        <f>IF(K4="Stamspor",Sporskifte_Stamdata!$A$8,Sporskifte_Stamdata!$B$8)</f>
        <v>B, A og A1</v>
      </c>
      <c r="L5" s="9" t="str">
        <f>IF(L4="Stamspor",Sporskifte_Stamdata!$A$8,Sporskifte_Stamdata!$B$8)</f>
        <v>B, A og A1</v>
      </c>
      <c r="M5" s="9" t="str">
        <f>IF(M4="Stamspor",Sporskifte_Stamdata!$A$8,Sporskifte_Stamdata!$B$8)</f>
        <v>B, A og A1</v>
      </c>
      <c r="N5" s="9" t="str">
        <f>IF(N4="Stamspor",Sporskifte_Stamdata!$A$8,Sporskifte_Stamdata!$B$8)</f>
        <v>B, A og A1</v>
      </c>
      <c r="O5" s="9" t="str">
        <f>IF(O4="Stamspor",Sporskifte_Stamdata!$A$8,Sporskifte_Stamdata!$B$8)</f>
        <v>B, A og A1</v>
      </c>
      <c r="P5" s="9" t="str">
        <f>IF(P4="Stamspor",Sporskifte_Stamdata!$A$8,Sporskifte_Stamdata!$B$8)</f>
        <v>B, A og A1</v>
      </c>
      <c r="Q5" s="9" t="str">
        <f>IF(Q4="Stamspor",Sporskifte_Stamdata!$A$8,Sporskifte_Stamdata!$B$8)</f>
        <v>B, A og A1</v>
      </c>
      <c r="R5" s="9" t="str">
        <f>IF(R4="Stamspor",Sporskifte_Stamdata!$A$8,Sporskifte_Stamdata!$B$8)</f>
        <v>B, A og A1</v>
      </c>
      <c r="S5" s="54" t="str">
        <f>IF(S4="Stamspor",Sporskifte_Stamdata!$A$8,Sporskifte_Stamdata!$B$8)</f>
        <v>B, A og A1</v>
      </c>
    </row>
    <row r="6" spans="1:19" ht="15" hidden="1" customHeight="1" x14ac:dyDescent="0.2">
      <c r="A6" s="174" t="s">
        <v>126</v>
      </c>
      <c r="B6" s="175"/>
      <c r="C6" s="2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54">
        <v>18</v>
      </c>
    </row>
    <row r="7" spans="1:19" ht="15" customHeight="1" thickBot="1" x14ac:dyDescent="0.25">
      <c r="A7" s="176" t="s">
        <v>164</v>
      </c>
      <c r="B7" s="177"/>
      <c r="C7" s="27" t="str">
        <f>IF(VLOOKUP(Sporskifte_Stamdata!$C$6,Tabel8[],Kontrol_FAKOP_Tungeparti_Stam!C$6,FALSE)=0,"N/A",VLOOKUP(Sporskifte_Stamdata!$C$6,Tabel8[],Kontrol_FAKOP_Tungeparti_Stam!C$6,FALSE)-1400)</f>
        <v>N/A</v>
      </c>
      <c r="D7" s="15">
        <f>IF(VLOOKUP(Sporskifte_Stamdata!$C$6,Tabel8[],Kontrol_FAKOP_Tungeparti_Stam!D$6,FALSE)=0,"N/A",VLOOKUP(Sporskifte_Stamdata!$C$6,Tabel8[],Kontrol_FAKOP_Tungeparti_Stam!D$6,FALSE)-1400)</f>
        <v>37</v>
      </c>
      <c r="E7" s="15">
        <f>IF(VLOOKUP(Sporskifte_Stamdata!$C$6,Tabel8[],Kontrol_FAKOP_Tungeparti_Stam!E$6,FALSE)=0,"N/A",VLOOKUP(Sporskifte_Stamdata!$C$6,Tabel8[],Kontrol_FAKOP_Tungeparti_Stam!E$6,FALSE)-1400)</f>
        <v>45</v>
      </c>
      <c r="F7" s="15">
        <f>IF(VLOOKUP(Sporskifte_Stamdata!$C$6,Tabel8[],Kontrol_FAKOP_Tungeparti_Stam!F$6,FALSE)=0,"N/A",VLOOKUP(Sporskifte_Stamdata!$C$6,Tabel8[],Kontrol_FAKOP_Tungeparti_Stam!F$6,FALSE)-1400)</f>
        <v>49</v>
      </c>
      <c r="G7" s="15">
        <f>IF(VLOOKUP(Sporskifte_Stamdata!$C$6,Tabel8[],Kontrol_FAKOP_Tungeparti_Stam!G$6,FALSE)=0,"N/A",VLOOKUP(Sporskifte_Stamdata!$C$6,Tabel8[],Kontrol_FAKOP_Tungeparti_Stam!G$6,FALSE)-1400)</f>
        <v>48</v>
      </c>
      <c r="H7" s="15">
        <f>IF(VLOOKUP(Sporskifte_Stamdata!$C$6,Tabel8[],Kontrol_FAKOP_Tungeparti_Stam!H$6,FALSE)=0,"N/A",VLOOKUP(Sporskifte_Stamdata!$C$6,Tabel8[],Kontrol_FAKOP_Tungeparti_Stam!H$6,FALSE)-1400)</f>
        <v>47</v>
      </c>
      <c r="I7" s="15">
        <f>IF(VLOOKUP(Sporskifte_Stamdata!$C$6,Tabel8[],Kontrol_FAKOP_Tungeparti_Stam!I$6,FALSE)=0,"N/A",VLOOKUP(Sporskifte_Stamdata!$C$6,Tabel8[],Kontrol_FAKOP_Tungeparti_Stam!I$6,FALSE)-1400)</f>
        <v>45</v>
      </c>
      <c r="J7" s="15">
        <f>IF(VLOOKUP(Sporskifte_Stamdata!$C$6,Tabel8[],Kontrol_FAKOP_Tungeparti_Stam!J$6,FALSE)=0,"N/A",VLOOKUP(Sporskifte_Stamdata!$C$6,Tabel8[],Kontrol_FAKOP_Tungeparti_Stam!J$6,FALSE)-1400)</f>
        <v>43</v>
      </c>
      <c r="K7" s="15">
        <f>IF(VLOOKUP(Sporskifte_Stamdata!$C$6,Tabel8[],Kontrol_FAKOP_Tungeparti_Stam!K$6,FALSE)=0,"N/A",VLOOKUP(Sporskifte_Stamdata!$C$6,Tabel8[],Kontrol_FAKOP_Tungeparti_Stam!K$6,FALSE)-1400)</f>
        <v>42</v>
      </c>
      <c r="L7" s="15">
        <f>IF(VLOOKUP(Sporskifte_Stamdata!$C$6,Tabel8[],Kontrol_FAKOP_Tungeparti_Stam!L$6,FALSE)=0,"N/A",VLOOKUP(Sporskifte_Stamdata!$C$6,Tabel8[],Kontrol_FAKOP_Tungeparti_Stam!L$6,FALSE)-1400)</f>
        <v>40</v>
      </c>
      <c r="M7" s="15">
        <f>IF(VLOOKUP(Sporskifte_Stamdata!$C$6,Tabel8[],Kontrol_FAKOP_Tungeparti_Stam!M$6,FALSE)=0,"N/A",VLOOKUP(Sporskifte_Stamdata!$C$6,Tabel8[],Kontrol_FAKOP_Tungeparti_Stam!M$6,FALSE)-1400)</f>
        <v>38</v>
      </c>
      <c r="N7" s="15">
        <f>IF(VLOOKUP(Sporskifte_Stamdata!$C$6,Tabel8[],Kontrol_FAKOP_Tungeparti_Stam!N$6,FALSE)=0,"N/A",VLOOKUP(Sporskifte_Stamdata!$C$6,Tabel8[],Kontrol_FAKOP_Tungeparti_Stam!N$6,FALSE)-1400)</f>
        <v>37</v>
      </c>
      <c r="O7" s="15">
        <f>IF(VLOOKUP(Sporskifte_Stamdata!$C$6,Tabel8[],Kontrol_FAKOP_Tungeparti_Stam!O$6,FALSE)=0,"N/A",VLOOKUP(Sporskifte_Stamdata!$C$6,Tabel8[],Kontrol_FAKOP_Tungeparti_Stam!O$6,FALSE)-1400)</f>
        <v>35</v>
      </c>
      <c r="P7" s="15">
        <f>IF(VLOOKUP(Sporskifte_Stamdata!$C$6,Tabel8[],Kontrol_FAKOP_Tungeparti_Stam!P$6,FALSE)=0,"N/A",VLOOKUP(Sporskifte_Stamdata!$C$6,Tabel8[],Kontrol_FAKOP_Tungeparti_Stam!P$6,FALSE)-1400)</f>
        <v>35</v>
      </c>
      <c r="Q7" s="15" t="str">
        <f>IF(VLOOKUP(Sporskifte_Stamdata!$C$6,Tabel8[],Kontrol_FAKOP_Tungeparti_Stam!Q$6,FALSE)=0,"N/A",VLOOKUP(Sporskifte_Stamdata!$C$6,Tabel8[],Kontrol_FAKOP_Tungeparti_Stam!Q$6,FALSE)-1400)</f>
        <v>N/A</v>
      </c>
      <c r="R7" s="15" t="str">
        <f>IF(VLOOKUP(Sporskifte_Stamdata!$C$6,Tabel8[],Kontrol_FAKOP_Tungeparti_Stam!R$6,FALSE)=0,"N/A",VLOOKUP(Sporskifte_Stamdata!$C$6,Tabel8[],Kontrol_FAKOP_Tungeparti_Stam!R$6,FALSE)-1400)</f>
        <v>N/A</v>
      </c>
      <c r="S7" s="23" t="str">
        <f>IF(VLOOKUP(Sporskifte_Stamdata!$C$6,Tabel8[],Kontrol_FAKOP_Tungeparti_Stam!S$6,FALSE)=0,"N/A",VLOOKUP(Sporskifte_Stamdata!$C$6,Tabel8[],Kontrol_FAKOP_Tungeparti_Stam!S$6,FALSE)-1400)</f>
        <v>N/A</v>
      </c>
    </row>
    <row r="8" spans="1:19" ht="15" customHeight="1" thickBot="1" x14ac:dyDescent="0.25">
      <c r="A8" s="155" t="s">
        <v>257</v>
      </c>
      <c r="B8" s="156"/>
      <c r="C8" s="28" t="str">
        <f>IF(VLOOKUP(Sporskifte_Stamdata!$C$6,Tabel81011[],Kontrol_FAKOP_Tungeparti_Stam!C$6,FALSE)=0,"",VLOOKUP(Sporskifte_Stamdata!$C$6,Tabel81011[],Kontrol_FAKOP_Tungeparti_Stam!C$6,FALSE))</f>
        <v>N/A</v>
      </c>
      <c r="D8" s="18" t="str">
        <f>IF(VLOOKUP(Sporskifte_Stamdata!$C$6,Tabel81011[],Kontrol_FAKOP_Tungeparti_Stam!D$6,FALSE)=0,"",VLOOKUP(Sporskifte_Stamdata!$C$6,Tabel81011[],Kontrol_FAKOP_Tungeparti_Stam!D$6,FALSE))</f>
        <v>002</v>
      </c>
      <c r="E8" s="18" t="str">
        <f>IF(VLOOKUP(Sporskifte_Stamdata!$C$6,Tabel81011[],Kontrol_FAKOP_Tungeparti_Stam!E$6,FALSE)=0,"",VLOOKUP(Sporskifte_Stamdata!$C$6,Tabel81011[],Kontrol_FAKOP_Tungeparti_Stam!E$6,FALSE))</f>
        <v>005</v>
      </c>
      <c r="F8" s="18" t="str">
        <f>IF(VLOOKUP(Sporskifte_Stamdata!$C$6,Tabel81011[],Kontrol_FAKOP_Tungeparti_Stam!F$6,FALSE)=0,"",VLOOKUP(Sporskifte_Stamdata!$C$6,Tabel81011[],Kontrol_FAKOP_Tungeparti_Stam!F$6,FALSE))</f>
        <v>008</v>
      </c>
      <c r="G8" s="18" t="str">
        <f>IF(VLOOKUP(Sporskifte_Stamdata!$C$6,Tabel81011[],Kontrol_FAKOP_Tungeparti_Stam!G$6,FALSE)=0,"",VLOOKUP(Sporskifte_Stamdata!$C$6,Tabel81011[],Kontrol_FAKOP_Tungeparti_Stam!G$6,FALSE))</f>
        <v>011</v>
      </c>
      <c r="H8" s="18" t="str">
        <f>IF(VLOOKUP(Sporskifte_Stamdata!$C$6,Tabel81011[],Kontrol_FAKOP_Tungeparti_Stam!H$6,FALSE)=0,"",VLOOKUP(Sporskifte_Stamdata!$C$6,Tabel81011[],Kontrol_FAKOP_Tungeparti_Stam!H$6,FALSE))</f>
        <v>014</v>
      </c>
      <c r="I8" s="18" t="str">
        <f>IF(VLOOKUP(Sporskifte_Stamdata!$C$6,Tabel81011[],Kontrol_FAKOP_Tungeparti_Stam!I$6,FALSE)=0,"",VLOOKUP(Sporskifte_Stamdata!$C$6,Tabel81011[],Kontrol_FAKOP_Tungeparti_Stam!I$6,FALSE))</f>
        <v>017</v>
      </c>
      <c r="J8" s="18" t="str">
        <f>IF(VLOOKUP(Sporskifte_Stamdata!$C$6,Tabel81011[],Kontrol_FAKOP_Tungeparti_Stam!J$6,FALSE)=0,"",VLOOKUP(Sporskifte_Stamdata!$C$6,Tabel81011[],Kontrol_FAKOP_Tungeparti_Stam!J$6,FALSE))</f>
        <v>020</v>
      </c>
      <c r="K8" s="18" t="str">
        <f>IF(VLOOKUP(Sporskifte_Stamdata!$C$6,Tabel81011[],Kontrol_FAKOP_Tungeparti_Stam!K$6,FALSE)=0,"",VLOOKUP(Sporskifte_Stamdata!$C$6,Tabel81011[],Kontrol_FAKOP_Tungeparti_Stam!K$6,FALSE))</f>
        <v>023</v>
      </c>
      <c r="L8" s="18" t="str">
        <f>IF(VLOOKUP(Sporskifte_Stamdata!$C$6,Tabel81011[],Kontrol_FAKOP_Tungeparti_Stam!L$6,FALSE)=0,"",VLOOKUP(Sporskifte_Stamdata!$C$6,Tabel81011[],Kontrol_FAKOP_Tungeparti_Stam!L$6,FALSE))</f>
        <v>026</v>
      </c>
      <c r="M8" s="18" t="str">
        <f>IF(VLOOKUP(Sporskifte_Stamdata!$C$6,Tabel81011[],Kontrol_FAKOP_Tungeparti_Stam!M$6,FALSE)=0,"",VLOOKUP(Sporskifte_Stamdata!$C$6,Tabel81011[],Kontrol_FAKOP_Tungeparti_Stam!M$6,FALSE))</f>
        <v>029</v>
      </c>
      <c r="N8" s="18" t="str">
        <f>IF(VLOOKUP(Sporskifte_Stamdata!$C$6,Tabel81011[],Kontrol_FAKOP_Tungeparti_Stam!N$6,FALSE)=0,"",VLOOKUP(Sporskifte_Stamdata!$C$6,Tabel81011[],Kontrol_FAKOP_Tungeparti_Stam!N$6,FALSE))</f>
        <v>032</v>
      </c>
      <c r="O8" s="18" t="str">
        <f>IF(VLOOKUP(Sporskifte_Stamdata!$C$6,Tabel81011[],Kontrol_FAKOP_Tungeparti_Stam!O$6,FALSE)=0,"",VLOOKUP(Sporskifte_Stamdata!$C$6,Tabel81011[],Kontrol_FAKOP_Tungeparti_Stam!O$6,FALSE))</f>
        <v>035</v>
      </c>
      <c r="P8" s="18" t="str">
        <f>IF(VLOOKUP(Sporskifte_Stamdata!$C$6,Tabel81011[],Kontrol_FAKOP_Tungeparti_Stam!P$6,FALSE)=0,"",VLOOKUP(Sporskifte_Stamdata!$C$6,Tabel81011[],Kontrol_FAKOP_Tungeparti_Stam!P$6,FALSE))</f>
        <v>038</v>
      </c>
      <c r="Q8" s="18" t="str">
        <f>IF(VLOOKUP(Sporskifte_Stamdata!$C$6,Tabel81011[],Kontrol_FAKOP_Tungeparti_Stam!Q$6,FALSE)=0,"",VLOOKUP(Sporskifte_Stamdata!$C$6,Tabel81011[],Kontrol_FAKOP_Tungeparti_Stam!Q$6,FALSE))</f>
        <v>N/A</v>
      </c>
      <c r="R8" s="18" t="str">
        <f>IF(VLOOKUP(Sporskifte_Stamdata!$C$6,Tabel81011[],Kontrol_FAKOP_Tungeparti_Stam!R$6,FALSE)=0,"",VLOOKUP(Sporskifte_Stamdata!$C$6,Tabel81011[],Kontrol_FAKOP_Tungeparti_Stam!R$6,FALSE))</f>
        <v>N/A</v>
      </c>
      <c r="S8" s="49" t="str">
        <f>IF(VLOOKUP(Sporskifte_Stamdata!$C$6,Tabel81011[],Kontrol_FAKOP_Tungeparti_Stam!S$6,FALSE)=0,"",VLOOKUP(Sporskifte_Stamdata!$C$6,Tabel81011[],Kontrol_FAKOP_Tungeparti_Stam!S$6,FALSE))</f>
        <v>N/A</v>
      </c>
    </row>
    <row r="9" spans="1:19" ht="15" customHeight="1" x14ac:dyDescent="0.2">
      <c r="A9" s="178" t="s">
        <v>166</v>
      </c>
      <c r="B9" s="179"/>
      <c r="C9" s="55" t="str">
        <f>IF(C$7="N/A","N/A",IF((VLOOKUP(C$5,Tabel11[],2,FALSE)+Kontrol_FAKOP_Tungeparti_Stam!C$7+1400)&gt;Tabel12[Maxsporvidde],(Tabel12[Maxsporvidde]-1400),(VLOOKUP(C$5,Tabel11[],2,FALSE)+Kontrol_FAKOP_Tungeparti_Stam!C$7)))</f>
        <v>N/A</v>
      </c>
      <c r="D9" s="73">
        <f>IF(D$7="N/A","N/A",IF((VLOOKUP(D$5,Tabel11[],2,FALSE)+Kontrol_FAKOP_Tungeparti_Stam!D$7+1400)&gt;Tabel12[Maxsporvidde],(Tabel12[Maxsporvidde]-1400),(VLOOKUP(D$5,Tabel11[],2,FALSE)+Kontrol_FAKOP_Tungeparti_Stam!D$7)))</f>
        <v>45</v>
      </c>
      <c r="E9" s="73">
        <f>IF(E$7="N/A","N/A",IF((VLOOKUP(E$5,Tabel11[],2,FALSE)+Kontrol_FAKOP_Tungeparti_Stam!E$7+1400)&gt;Tabel12[Maxsporvidde],(Tabel12[Maxsporvidde]-1400),(VLOOKUP(E$5,Tabel11[],2,FALSE)+Kontrol_FAKOP_Tungeparti_Stam!E$7)))</f>
        <v>53</v>
      </c>
      <c r="F9" s="73">
        <f>IF(F$7="N/A","N/A",IF((VLOOKUP(F$5,Tabel11[],2,FALSE)+Kontrol_FAKOP_Tungeparti_Stam!F$7+1400)&gt;Tabel12[Maxsporvidde],(Tabel12[Maxsporvidde]-1400),(VLOOKUP(F$5,Tabel11[],2,FALSE)+Kontrol_FAKOP_Tungeparti_Stam!F$7)))</f>
        <v>57</v>
      </c>
      <c r="G9" s="73">
        <f>IF(G$7="N/A","N/A",IF((VLOOKUP(G$5,Tabel11[],2,FALSE)+Kontrol_FAKOP_Tungeparti_Stam!G$7+1400)&gt;Tabel12[Maxsporvidde],(Tabel12[Maxsporvidde]-1400),(VLOOKUP(G$5,Tabel11[],2,FALSE)+Kontrol_FAKOP_Tungeparti_Stam!G$7)))</f>
        <v>56</v>
      </c>
      <c r="H9" s="73">
        <f>IF(H$7="N/A","N/A",IF((VLOOKUP(H$5,Tabel11[],2,FALSE)+Kontrol_FAKOP_Tungeparti_Stam!H$7+1400)&gt;Tabel12[Maxsporvidde],(Tabel12[Maxsporvidde]-1400),(VLOOKUP(H$5,Tabel11[],2,FALSE)+Kontrol_FAKOP_Tungeparti_Stam!H$7)))</f>
        <v>55</v>
      </c>
      <c r="I9" s="73">
        <f>IF(I$7="N/A","N/A",IF((VLOOKUP(I$5,Tabel11[],2,FALSE)+Kontrol_FAKOP_Tungeparti_Stam!I$7+1400)&gt;Tabel12[Maxsporvidde],(Tabel12[Maxsporvidde]-1400),(VLOOKUP(I$5,Tabel11[],2,FALSE)+Kontrol_FAKOP_Tungeparti_Stam!I$7)))</f>
        <v>53</v>
      </c>
      <c r="J9" s="73">
        <f>IF(J$7="N/A","N/A",IF((VLOOKUP(J$5,Tabel11[],2,FALSE)+Kontrol_FAKOP_Tungeparti_Stam!J$7+1400)&gt;Tabel12[Maxsporvidde],(Tabel12[Maxsporvidde]-1400),(VLOOKUP(J$5,Tabel11[],2,FALSE)+Kontrol_FAKOP_Tungeparti_Stam!J$7)))</f>
        <v>51</v>
      </c>
      <c r="K9" s="73">
        <f>IF(K$7="N/A","N/A",IF((VLOOKUP(K$5,Tabel11[],2,FALSE)+Kontrol_FAKOP_Tungeparti_Stam!K$7+1400)&gt;Tabel12[Maxsporvidde],(Tabel12[Maxsporvidde]-1400),(VLOOKUP(K$5,Tabel11[],2,FALSE)+Kontrol_FAKOP_Tungeparti_Stam!K$7)))</f>
        <v>50</v>
      </c>
      <c r="L9" s="73">
        <f>IF(L$7="N/A","N/A",IF((VLOOKUP(L$5,Tabel11[],2,FALSE)+Kontrol_FAKOP_Tungeparti_Stam!L$7+1400)&gt;Tabel12[Maxsporvidde],(Tabel12[Maxsporvidde]-1400),(VLOOKUP(L$5,Tabel11[],2,FALSE)+Kontrol_FAKOP_Tungeparti_Stam!L$7)))</f>
        <v>48</v>
      </c>
      <c r="M9" s="73">
        <f>IF(M$7="N/A","N/A",IF((VLOOKUP(M$5,Tabel11[],2,FALSE)+Kontrol_FAKOP_Tungeparti_Stam!M$7+1400)&gt;Tabel12[Maxsporvidde],(Tabel12[Maxsporvidde]-1400),(VLOOKUP(M$5,Tabel11[],2,FALSE)+Kontrol_FAKOP_Tungeparti_Stam!M$7)))</f>
        <v>46</v>
      </c>
      <c r="N9" s="73">
        <f>IF(N$7="N/A","N/A",IF((VLOOKUP(N$5,Tabel11[],2,FALSE)+Kontrol_FAKOP_Tungeparti_Stam!N$7+1400)&gt;Tabel12[Maxsporvidde],(Tabel12[Maxsporvidde]-1400),(VLOOKUP(N$5,Tabel11[],2,FALSE)+Kontrol_FAKOP_Tungeparti_Stam!N$7)))</f>
        <v>45</v>
      </c>
      <c r="O9" s="73">
        <f>IF(O$7="N/A","N/A",IF((VLOOKUP(O$5,Tabel11[],2,FALSE)+Kontrol_FAKOP_Tungeparti_Stam!O$7+1400)&gt;Tabel12[Maxsporvidde],(Tabel12[Maxsporvidde]-1400),(VLOOKUP(O$5,Tabel11[],2,FALSE)+Kontrol_FAKOP_Tungeparti_Stam!O$7)))</f>
        <v>43</v>
      </c>
      <c r="P9" s="73">
        <f>IF(P$7="N/A","N/A",IF((VLOOKUP(P$5,Tabel11[],2,FALSE)+Kontrol_FAKOP_Tungeparti_Stam!P$7+1400)&gt;Tabel12[Maxsporvidde],(Tabel12[Maxsporvidde]-1400),(VLOOKUP(P$5,Tabel11[],2,FALSE)+Kontrol_FAKOP_Tungeparti_Stam!P$7)))</f>
        <v>43</v>
      </c>
      <c r="Q9" s="50" t="str">
        <f>IF(Q$7="N/A","N/A",IF((VLOOKUP(Q$5,Tabel11[],2,FALSE)+Kontrol_FAKOP_Tungeparti_Stam!Q$7+1400)&gt;Tabel12[Maxsporvidde],(Tabel12[Maxsporvidde]-1400),(VLOOKUP(Q$5,Tabel11[],2,FALSE)+Kontrol_FAKOP_Tungeparti_Stam!Q$7)))</f>
        <v>N/A</v>
      </c>
      <c r="R9" s="50" t="str">
        <f>IF(R$7="N/A","N/A",IF((VLOOKUP(R$5,Tabel11[],2,FALSE)+Kontrol_FAKOP_Tungeparti_Stam!R$7+1400)&gt;Tabel12[Maxsporvidde],(Tabel12[Maxsporvidde]-1400),(VLOOKUP(R$5,Tabel11[],2,FALSE)+Kontrol_FAKOP_Tungeparti_Stam!R$7)))</f>
        <v>N/A</v>
      </c>
      <c r="S9" s="51" t="str">
        <f>IF(S$7="N/A","N/A",IF((VLOOKUP(S$5,Tabel11[],2,FALSE)+Kontrol_FAKOP_Tungeparti_Stam!S$7+1400)&gt;Tabel12[Maxsporvidde],(Tabel12[Maxsporvidde]-1400),(VLOOKUP(S$5,Tabel11[],2,FALSE)+Kontrol_FAKOP_Tungeparti_Stam!S$7)))</f>
        <v>N/A</v>
      </c>
    </row>
    <row r="10" spans="1:19" ht="15" customHeight="1" thickBot="1" x14ac:dyDescent="0.25">
      <c r="A10" s="180"/>
      <c r="B10" s="181"/>
      <c r="C10" s="56" t="str">
        <f>IF(C$7="N/A","N/A",VLOOKUP(C$5,Tabel11[],3,FALSE)+Kontrol_FAKOP_Tungeparti_Stam!C$7)</f>
        <v>N/A</v>
      </c>
      <c r="D10" s="74">
        <f>IF(D$7="N/A","N/A",VLOOKUP(D$5,Tabel11[],3,FALSE)+Kontrol_FAKOP_Tungeparti_Stam!D$7)</f>
        <v>34</v>
      </c>
      <c r="E10" s="74">
        <f>IF(E$7="N/A","N/A",VLOOKUP(E$5,Tabel11[],3,FALSE)+Kontrol_FAKOP_Tungeparti_Stam!E$7)</f>
        <v>42</v>
      </c>
      <c r="F10" s="74">
        <f>IF(F$7="N/A","N/A",VLOOKUP(F$5,Tabel11[],3,FALSE)+Kontrol_FAKOP_Tungeparti_Stam!F$7)</f>
        <v>46</v>
      </c>
      <c r="G10" s="74">
        <f>IF(G$7="N/A","N/A",VLOOKUP(G$5,Tabel11[],3,FALSE)+Kontrol_FAKOP_Tungeparti_Stam!G$7)</f>
        <v>45</v>
      </c>
      <c r="H10" s="74">
        <f>IF(H$7="N/A","N/A",VLOOKUP(H$5,Tabel11[],3,FALSE)+Kontrol_FAKOP_Tungeparti_Stam!H$7)</f>
        <v>44</v>
      </c>
      <c r="I10" s="74">
        <f>IF(I$7="N/A","N/A",VLOOKUP(I$5,Tabel11[],3,FALSE)+Kontrol_FAKOP_Tungeparti_Stam!I$7)</f>
        <v>42</v>
      </c>
      <c r="J10" s="74">
        <f>IF(J$7="N/A","N/A",VLOOKUP(J$5,Tabel11[],3,FALSE)+Kontrol_FAKOP_Tungeparti_Stam!J$7)</f>
        <v>40</v>
      </c>
      <c r="K10" s="74">
        <f>IF(K$7="N/A","N/A",VLOOKUP(K$5,Tabel11[],3,FALSE)+Kontrol_FAKOP_Tungeparti_Stam!K$7)</f>
        <v>39</v>
      </c>
      <c r="L10" s="74">
        <f>IF(L$7="N/A","N/A",VLOOKUP(L$5,Tabel11[],3,FALSE)+Kontrol_FAKOP_Tungeparti_Stam!L$7)</f>
        <v>37</v>
      </c>
      <c r="M10" s="74">
        <f>IF(M$7="N/A","N/A",VLOOKUP(M$5,Tabel11[],3,FALSE)+Kontrol_FAKOP_Tungeparti_Stam!M$7)</f>
        <v>35</v>
      </c>
      <c r="N10" s="74">
        <f>IF(N$7="N/A","N/A",VLOOKUP(N$5,Tabel11[],3,FALSE)+Kontrol_FAKOP_Tungeparti_Stam!N$7)</f>
        <v>34</v>
      </c>
      <c r="O10" s="74">
        <f>IF(O$7="N/A","N/A",VLOOKUP(O$5,Tabel11[],3,FALSE)+Kontrol_FAKOP_Tungeparti_Stam!O$7)</f>
        <v>32</v>
      </c>
      <c r="P10" s="74">
        <f>IF(P$7="N/A","N/A",VLOOKUP(P$5,Tabel11[],3,FALSE)+Kontrol_FAKOP_Tungeparti_Stam!P$7)</f>
        <v>32</v>
      </c>
      <c r="Q10" s="52" t="str">
        <f>IF(Q$7="N/A","N/A",VLOOKUP(Q$5,Tabel11[],3,FALSE)+Kontrol_FAKOP_Tungeparti_Stam!Q$7)</f>
        <v>N/A</v>
      </c>
      <c r="R10" s="52" t="str">
        <f>IF(R$7="N/A","N/A",VLOOKUP(R$5,Tabel11[],3,FALSE)+Kontrol_FAKOP_Tungeparti_Stam!R$7)</f>
        <v>N/A</v>
      </c>
      <c r="S10" s="53" t="str">
        <f>IF(S$7="N/A","N/A",VLOOKUP(S$5,Tabel11[],3,FALSE)+Kontrol_FAKOP_Tungeparti_Stam!S$7)</f>
        <v>N/A</v>
      </c>
    </row>
    <row r="11" spans="1:19" ht="15" customHeight="1" x14ac:dyDescent="0.2">
      <c r="A11" s="178" t="s">
        <v>165</v>
      </c>
      <c r="B11" s="179"/>
      <c r="C11" s="55" t="str">
        <f>IF(C$7="N/A","N/A",IF((VLOOKUP(C$5,Tabel1114[],2,FALSE)+Kontrol_FAKOP_Tungeparti_Stam!C$7+1400)&gt;Tabel1215[Maxsporvidde],(Tabel1215[Maxsporvidde]-1400),(VLOOKUP(C$5,Tabel1114[],2,FALSE)+Kontrol_FAKOP_Tungeparti_Stam!C$7)))</f>
        <v>N/A</v>
      </c>
      <c r="D11" s="73">
        <f>IF(D$7="N/A","N/A",IF((VLOOKUP(D$5,Tabel1114[],2,FALSE)+Kontrol_FAKOP_Tungeparti_Stam!D$7+1400)&gt;Tabel1215[Maxsporvidde],(Tabel1215[Maxsporvidde]-1400),(VLOOKUP(D$5,Tabel1114[],2,FALSE)+Kontrol_FAKOP_Tungeparti_Stam!D$7)))</f>
        <v>47</v>
      </c>
      <c r="E11" s="73">
        <f>IF(E$7="N/A","N/A",IF((VLOOKUP(E$5,Tabel1114[],2,FALSE)+Kontrol_FAKOP_Tungeparti_Stam!E$7+1400)&gt;Tabel1215[Maxsporvidde],(Tabel1215[Maxsporvidde]-1400),(VLOOKUP(E$5,Tabel1114[],2,FALSE)+Kontrol_FAKOP_Tungeparti_Stam!E$7)))</f>
        <v>55</v>
      </c>
      <c r="F11" s="73">
        <f>IF(F$7="N/A","N/A",IF((VLOOKUP(F$5,Tabel1114[],2,FALSE)+Kontrol_FAKOP_Tungeparti_Stam!F$7+1400)&gt;Tabel1215[Maxsporvidde],(Tabel1215[Maxsporvidde]-1400),(VLOOKUP(F$5,Tabel1114[],2,FALSE)+Kontrol_FAKOP_Tungeparti_Stam!F$7)))</f>
        <v>59</v>
      </c>
      <c r="G11" s="73">
        <f>IF(G$7="N/A","N/A",IF((VLOOKUP(G$5,Tabel1114[],2,FALSE)+Kontrol_FAKOP_Tungeparti_Stam!G$7+1400)&gt;Tabel1215[Maxsporvidde],(Tabel1215[Maxsporvidde]-1400),(VLOOKUP(G$5,Tabel1114[],2,FALSE)+Kontrol_FAKOP_Tungeparti_Stam!G$7)))</f>
        <v>58</v>
      </c>
      <c r="H11" s="73">
        <f>IF(H$7="N/A","N/A",IF((VLOOKUP(H$5,Tabel1114[],2,FALSE)+Kontrol_FAKOP_Tungeparti_Stam!H$7+1400)&gt;Tabel1215[Maxsporvidde],(Tabel1215[Maxsporvidde]-1400),(VLOOKUP(H$5,Tabel1114[],2,FALSE)+Kontrol_FAKOP_Tungeparti_Stam!H$7)))</f>
        <v>57</v>
      </c>
      <c r="I11" s="73">
        <f>IF(I$7="N/A","N/A",IF((VLOOKUP(I$5,Tabel1114[],2,FALSE)+Kontrol_FAKOP_Tungeparti_Stam!I$7+1400)&gt;Tabel1215[Maxsporvidde],(Tabel1215[Maxsporvidde]-1400),(VLOOKUP(I$5,Tabel1114[],2,FALSE)+Kontrol_FAKOP_Tungeparti_Stam!I$7)))</f>
        <v>55</v>
      </c>
      <c r="J11" s="73">
        <f>IF(J$7="N/A","N/A",IF((VLOOKUP(J$5,Tabel1114[],2,FALSE)+Kontrol_FAKOP_Tungeparti_Stam!J$7+1400)&gt;Tabel1215[Maxsporvidde],(Tabel1215[Maxsporvidde]-1400),(VLOOKUP(J$5,Tabel1114[],2,FALSE)+Kontrol_FAKOP_Tungeparti_Stam!J$7)))</f>
        <v>53</v>
      </c>
      <c r="K11" s="73">
        <f>IF(K$7="N/A","N/A",IF((VLOOKUP(K$5,Tabel1114[],2,FALSE)+Kontrol_FAKOP_Tungeparti_Stam!K$7+1400)&gt;Tabel1215[Maxsporvidde],(Tabel1215[Maxsporvidde]-1400),(VLOOKUP(K$5,Tabel1114[],2,FALSE)+Kontrol_FAKOP_Tungeparti_Stam!K$7)))</f>
        <v>52</v>
      </c>
      <c r="L11" s="73">
        <f>IF(L$7="N/A","N/A",IF((VLOOKUP(L$5,Tabel1114[],2,FALSE)+Kontrol_FAKOP_Tungeparti_Stam!L$7+1400)&gt;Tabel1215[Maxsporvidde],(Tabel1215[Maxsporvidde]-1400),(VLOOKUP(L$5,Tabel1114[],2,FALSE)+Kontrol_FAKOP_Tungeparti_Stam!L$7)))</f>
        <v>50</v>
      </c>
      <c r="M11" s="73">
        <f>IF(M$7="N/A","N/A",IF((VLOOKUP(M$5,Tabel1114[],2,FALSE)+Kontrol_FAKOP_Tungeparti_Stam!M$7+1400)&gt;Tabel1215[Maxsporvidde],(Tabel1215[Maxsporvidde]-1400),(VLOOKUP(M$5,Tabel1114[],2,FALSE)+Kontrol_FAKOP_Tungeparti_Stam!M$7)))</f>
        <v>48</v>
      </c>
      <c r="N11" s="73">
        <f>IF(N$7="N/A","N/A",IF((VLOOKUP(N$5,Tabel1114[],2,FALSE)+Kontrol_FAKOP_Tungeparti_Stam!N$7+1400)&gt;Tabel1215[Maxsporvidde],(Tabel1215[Maxsporvidde]-1400),(VLOOKUP(N$5,Tabel1114[],2,FALSE)+Kontrol_FAKOP_Tungeparti_Stam!N$7)))</f>
        <v>47</v>
      </c>
      <c r="O11" s="73">
        <f>IF(O$7="N/A","N/A",IF((VLOOKUP(O$5,Tabel1114[],2,FALSE)+Kontrol_FAKOP_Tungeparti_Stam!O$7+1400)&gt;Tabel1215[Maxsporvidde],(Tabel1215[Maxsporvidde]-1400),(VLOOKUP(O$5,Tabel1114[],2,FALSE)+Kontrol_FAKOP_Tungeparti_Stam!O$7)))</f>
        <v>45</v>
      </c>
      <c r="P11" s="73">
        <f>IF(P$7="N/A","N/A",IF((VLOOKUP(P$5,Tabel1114[],2,FALSE)+Kontrol_FAKOP_Tungeparti_Stam!P$7+1400)&gt;Tabel1215[Maxsporvidde],(Tabel1215[Maxsporvidde]-1400),(VLOOKUP(P$5,Tabel1114[],2,FALSE)+Kontrol_FAKOP_Tungeparti_Stam!P$7)))</f>
        <v>45</v>
      </c>
      <c r="Q11" s="50" t="str">
        <f>IF(Q$7="N/A","N/A",IF((VLOOKUP(Q$5,Tabel1114[],2,FALSE)+Kontrol_FAKOP_Tungeparti_Stam!Q$7+1400)&gt;Tabel1215[Maxsporvidde],(Tabel1215[Maxsporvidde]-1400),(VLOOKUP(Q$5,Tabel1114[],2,FALSE)+Kontrol_FAKOP_Tungeparti_Stam!Q$7)))</f>
        <v>N/A</v>
      </c>
      <c r="R11" s="50" t="str">
        <f>IF(R$7="N/A","N/A",IF((VLOOKUP(R$5,Tabel1114[],2,FALSE)+Kontrol_FAKOP_Tungeparti_Stam!R$7+1400)&gt;Tabel1215[Maxsporvidde],(Tabel1215[Maxsporvidde]-1400),(VLOOKUP(R$5,Tabel1114[],2,FALSE)+Kontrol_FAKOP_Tungeparti_Stam!R$7)))</f>
        <v>N/A</v>
      </c>
      <c r="S11" s="51" t="str">
        <f>IF(S$7="N/A","N/A",IF((VLOOKUP(S$5,Tabel1114[],2,FALSE)+Kontrol_FAKOP_Tungeparti_Stam!S$7+1400)&gt;Tabel1215[Maxsporvidde],(Tabel1215[Maxsporvidde]-1400),(VLOOKUP(S$5,Tabel1114[],2,FALSE)+Kontrol_FAKOP_Tungeparti_Stam!S$7)))</f>
        <v>N/A</v>
      </c>
    </row>
    <row r="12" spans="1:19" ht="15" customHeight="1" thickBot="1" x14ac:dyDescent="0.25">
      <c r="A12" s="180"/>
      <c r="B12" s="181"/>
      <c r="C12" s="56" t="str">
        <f>IF(C$7="N/A","N/A",VLOOKUP(C$5,Tabel1114[],3,FALSE)+Kontrol_FAKOP_Tungeparti_Stam!C$7)</f>
        <v>N/A</v>
      </c>
      <c r="D12" s="74">
        <f>IF(D$7="N/A","N/A",VLOOKUP(D$5,Tabel1114[],3,FALSE)+Kontrol_FAKOP_Tungeparti_Stam!D$7)</f>
        <v>34</v>
      </c>
      <c r="E12" s="74">
        <f>IF(E$7="N/A","N/A",VLOOKUP(E$5,Tabel1114[],3,FALSE)+Kontrol_FAKOP_Tungeparti_Stam!E$7)</f>
        <v>42</v>
      </c>
      <c r="F12" s="74">
        <f>IF(F$7="N/A","N/A",VLOOKUP(F$5,Tabel1114[],3,FALSE)+Kontrol_FAKOP_Tungeparti_Stam!F$7)</f>
        <v>46</v>
      </c>
      <c r="G12" s="74">
        <f>IF(G$7="N/A","N/A",VLOOKUP(G$5,Tabel1114[],3,FALSE)+Kontrol_FAKOP_Tungeparti_Stam!G$7)</f>
        <v>45</v>
      </c>
      <c r="H12" s="74">
        <f>IF(H$7="N/A","N/A",VLOOKUP(H$5,Tabel1114[],3,FALSE)+Kontrol_FAKOP_Tungeparti_Stam!H$7)</f>
        <v>44</v>
      </c>
      <c r="I12" s="74">
        <f>IF(I$7="N/A","N/A",VLOOKUP(I$5,Tabel1114[],3,FALSE)+Kontrol_FAKOP_Tungeparti_Stam!I$7)</f>
        <v>42</v>
      </c>
      <c r="J12" s="74">
        <f>IF(J$7="N/A","N/A",VLOOKUP(J$5,Tabel1114[],3,FALSE)+Kontrol_FAKOP_Tungeparti_Stam!J$7)</f>
        <v>40</v>
      </c>
      <c r="K12" s="74">
        <f>IF(K$7="N/A","N/A",VLOOKUP(K$5,Tabel1114[],3,FALSE)+Kontrol_FAKOP_Tungeparti_Stam!K$7)</f>
        <v>39</v>
      </c>
      <c r="L12" s="74">
        <f>IF(L$7="N/A","N/A",VLOOKUP(L$5,Tabel1114[],3,FALSE)+Kontrol_FAKOP_Tungeparti_Stam!L$7)</f>
        <v>37</v>
      </c>
      <c r="M12" s="74">
        <f>IF(M$7="N/A","N/A",VLOOKUP(M$5,Tabel1114[],3,FALSE)+Kontrol_FAKOP_Tungeparti_Stam!M$7)</f>
        <v>35</v>
      </c>
      <c r="N12" s="74">
        <f>IF(N$7="N/A","N/A",VLOOKUP(N$5,Tabel1114[],3,FALSE)+Kontrol_FAKOP_Tungeparti_Stam!N$7)</f>
        <v>34</v>
      </c>
      <c r="O12" s="74">
        <f>IF(O$7="N/A","N/A",VLOOKUP(O$5,Tabel1114[],3,FALSE)+Kontrol_FAKOP_Tungeparti_Stam!O$7)</f>
        <v>32</v>
      </c>
      <c r="P12" s="74">
        <f>IF(P$7="N/A","N/A",VLOOKUP(P$5,Tabel1114[],3,FALSE)+Kontrol_FAKOP_Tungeparti_Stam!P$7)</f>
        <v>32</v>
      </c>
      <c r="Q12" s="52" t="str">
        <f>IF(Q$7="N/A","N/A",VLOOKUP(Q$5,Tabel1114[],3,FALSE)+Kontrol_FAKOP_Tungeparti_Stam!Q$7)</f>
        <v>N/A</v>
      </c>
      <c r="R12" s="52" t="str">
        <f>IF(R$7="N/A","N/A",VLOOKUP(R$5,Tabel1114[],3,FALSE)+Kontrol_FAKOP_Tungeparti_Stam!R$7)</f>
        <v>N/A</v>
      </c>
      <c r="S12" s="53" t="str">
        <f>IF(S$7="N/A","N/A",VLOOKUP(S$5,Tabel1114[],3,FALSE)+Kontrol_FAKOP_Tungeparti_Stam!S$7)</f>
        <v>N/A</v>
      </c>
    </row>
    <row r="13" spans="1:19" ht="15" customHeight="1" thickBot="1" x14ac:dyDescent="0.25">
      <c r="A13" s="155" t="s">
        <v>76</v>
      </c>
      <c r="B13" s="156"/>
      <c r="C13" s="191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3"/>
    </row>
    <row r="14" spans="1:19" ht="50.1" customHeight="1" thickBot="1" x14ac:dyDescent="0.25">
      <c r="A14" s="157" t="s">
        <v>77</v>
      </c>
      <c r="B14" s="158"/>
      <c r="C14" s="30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/>
    </row>
    <row r="15" spans="1:19" ht="15" customHeight="1" x14ac:dyDescent="0.2">
      <c r="A15" s="182" t="s">
        <v>78</v>
      </c>
      <c r="B15" s="183"/>
      <c r="C15" s="194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83"/>
    </row>
    <row r="16" spans="1:19" ht="15" customHeight="1" thickBot="1" x14ac:dyDescent="0.25">
      <c r="A16" s="41" t="s">
        <v>80</v>
      </c>
      <c r="B16" s="48" t="s">
        <v>79</v>
      </c>
      <c r="C16" s="196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8"/>
    </row>
    <row r="17" spans="1:19" ht="15" customHeight="1" x14ac:dyDescent="0.2">
      <c r="A17" s="57" t="str">
        <f>IF(Sporskiftekort!A17="","",Sporskiftekort!A17)</f>
        <v/>
      </c>
      <c r="B17" s="61" t="str">
        <f>IF(Sporskiftekort!B17="","",Sporskiftekort!B17)</f>
        <v/>
      </c>
      <c r="C17" s="37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44"/>
    </row>
    <row r="18" spans="1:19" ht="15" customHeight="1" x14ac:dyDescent="0.2">
      <c r="A18" s="45" t="str">
        <f>IF(Sporskiftekort!A18="","",Sporskiftekort!A18)</f>
        <v/>
      </c>
      <c r="B18" s="62" t="str">
        <f>IF(Sporskiftekort!B18="","",Sporskiftekort!B18)</f>
        <v/>
      </c>
      <c r="C18" s="3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46"/>
    </row>
    <row r="19" spans="1:19" ht="15" customHeight="1" x14ac:dyDescent="0.2">
      <c r="A19" s="45" t="str">
        <f>IF(Sporskiftekort!A19="","",Sporskiftekort!A19)</f>
        <v/>
      </c>
      <c r="B19" s="62" t="str">
        <f>IF(Sporskiftekort!B19="","",Sporskiftekort!B19)</f>
        <v/>
      </c>
      <c r="C19" s="3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46"/>
    </row>
    <row r="20" spans="1:19" ht="15" customHeight="1" x14ac:dyDescent="0.2">
      <c r="A20" s="45" t="str">
        <f>IF(Sporskiftekort!A20="","",Sporskiftekort!A20)</f>
        <v/>
      </c>
      <c r="B20" s="62" t="str">
        <f>IF(Sporskiftekort!B20="","",Sporskiftekort!B20)</f>
        <v/>
      </c>
      <c r="C20" s="3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46"/>
    </row>
    <row r="21" spans="1:19" ht="15" customHeight="1" x14ac:dyDescent="0.2">
      <c r="A21" s="45" t="str">
        <f>IF(Sporskiftekort!A21="","",Sporskiftekort!A21)</f>
        <v/>
      </c>
      <c r="B21" s="62" t="str">
        <f>IF(Sporskiftekort!B21="","",Sporskiftekort!B21)</f>
        <v/>
      </c>
      <c r="C21" s="3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46"/>
    </row>
    <row r="22" spans="1:19" ht="15" customHeight="1" x14ac:dyDescent="0.2">
      <c r="A22" s="45" t="str">
        <f>IF(Sporskiftekort!A22="","",Sporskiftekort!A22)</f>
        <v/>
      </c>
      <c r="B22" s="62" t="str">
        <f>IF(Sporskiftekort!B22="","",Sporskiftekort!B22)</f>
        <v/>
      </c>
      <c r="C22" s="3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46"/>
    </row>
    <row r="23" spans="1:19" ht="15" customHeight="1" x14ac:dyDescent="0.2">
      <c r="A23" s="45" t="str">
        <f>IF(Sporskiftekort!A23="","",Sporskiftekort!A23)</f>
        <v/>
      </c>
      <c r="B23" s="62" t="str">
        <f>IF(Sporskiftekort!B23="","",Sporskiftekort!B23)</f>
        <v/>
      </c>
      <c r="C23" s="3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46"/>
    </row>
    <row r="24" spans="1:19" ht="15" customHeight="1" x14ac:dyDescent="0.2">
      <c r="A24" s="45" t="str">
        <f>IF(Sporskiftekort!A24="","",Sporskiftekort!A24)</f>
        <v/>
      </c>
      <c r="B24" s="62" t="str">
        <f>IF(Sporskiftekort!B24="","",Sporskiftekort!B24)</f>
        <v/>
      </c>
      <c r="C24" s="3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46"/>
    </row>
    <row r="25" spans="1:19" ht="15" customHeight="1" x14ac:dyDescent="0.2">
      <c r="A25" s="45" t="str">
        <f>IF(Sporskiftekort!A25="","",Sporskiftekort!A25)</f>
        <v/>
      </c>
      <c r="B25" s="62" t="str">
        <f>IF(Sporskiftekort!B25="","",Sporskiftekort!B25)</f>
        <v/>
      </c>
      <c r="C25" s="3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46"/>
    </row>
    <row r="26" spans="1:19" ht="15" customHeight="1" x14ac:dyDescent="0.2">
      <c r="A26" s="45" t="str">
        <f>IF(Sporskiftekort!A26="","",Sporskiftekort!A26)</f>
        <v/>
      </c>
      <c r="B26" s="62" t="str">
        <f>IF(Sporskiftekort!B26="","",Sporskiftekort!B26)</f>
        <v/>
      </c>
      <c r="C26" s="3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46"/>
    </row>
    <row r="27" spans="1:19" ht="15" customHeight="1" x14ac:dyDescent="0.2">
      <c r="A27" s="45" t="str">
        <f>IF(Sporskiftekort!A27="","",Sporskiftekort!A27)</f>
        <v/>
      </c>
      <c r="B27" s="62" t="str">
        <f>IF(Sporskiftekort!B27="","",Sporskiftekort!B27)</f>
        <v/>
      </c>
      <c r="C27" s="3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46"/>
    </row>
    <row r="28" spans="1:19" ht="15" customHeight="1" x14ac:dyDescent="0.2">
      <c r="A28" s="45" t="str">
        <f>IF(Sporskiftekort!A28="","",Sporskiftekort!A28)</f>
        <v/>
      </c>
      <c r="B28" s="62" t="str">
        <f>IF(Sporskiftekort!B28="","",Sporskiftekort!B28)</f>
        <v/>
      </c>
      <c r="C28" s="3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46"/>
    </row>
    <row r="29" spans="1:19" ht="15" customHeight="1" x14ac:dyDescent="0.2">
      <c r="A29" s="45" t="str">
        <f>IF(Sporskiftekort!A29="","",Sporskiftekort!A29)</f>
        <v/>
      </c>
      <c r="B29" s="62" t="str">
        <f>IF(Sporskiftekort!B29="","",Sporskiftekort!B29)</f>
        <v/>
      </c>
      <c r="C29" s="3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46"/>
    </row>
    <row r="30" spans="1:19" ht="15" customHeight="1" x14ac:dyDescent="0.2">
      <c r="A30" s="45" t="str">
        <f>IF(Sporskiftekort!A30="","",Sporskiftekort!A30)</f>
        <v/>
      </c>
      <c r="B30" s="62" t="str">
        <f>IF(Sporskiftekort!B30="","",Sporskiftekort!B30)</f>
        <v/>
      </c>
      <c r="C30" s="3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46"/>
    </row>
    <row r="31" spans="1:19" ht="15" customHeight="1" x14ac:dyDescent="0.2">
      <c r="A31" s="45" t="str">
        <f>IF(Sporskiftekort!A31="","",Sporskiftekort!A31)</f>
        <v/>
      </c>
      <c r="B31" s="62" t="str">
        <f>IF(Sporskiftekort!B31="","",Sporskiftekort!B31)</f>
        <v/>
      </c>
      <c r="C31" s="39"/>
      <c r="D31" s="10"/>
      <c r="E31" s="10"/>
      <c r="F31" s="10" t="s">
        <v>155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46"/>
    </row>
    <row r="32" spans="1:19" ht="15" customHeight="1" x14ac:dyDescent="0.2">
      <c r="A32" s="45" t="str">
        <f>IF(Sporskiftekort!A32="","",Sporskiftekort!A32)</f>
        <v/>
      </c>
      <c r="B32" s="62" t="str">
        <f>IF(Sporskiftekort!B32="","",Sporskiftekort!B32)</f>
        <v/>
      </c>
      <c r="C32" s="3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46"/>
    </row>
    <row r="33" spans="1:19" ht="15" customHeight="1" x14ac:dyDescent="0.2">
      <c r="A33" s="45" t="str">
        <f>IF(Sporskiftekort!A33="","",Sporskiftekort!A33)</f>
        <v/>
      </c>
      <c r="B33" s="62" t="str">
        <f>IF(Sporskiftekort!B33="","",Sporskiftekort!B33)</f>
        <v/>
      </c>
      <c r="C33" s="3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46"/>
    </row>
    <row r="34" spans="1:19" ht="15" customHeight="1" x14ac:dyDescent="0.2">
      <c r="A34" s="45" t="str">
        <f>IF(Sporskiftekort!A34="","",Sporskiftekort!A34)</f>
        <v/>
      </c>
      <c r="B34" s="62" t="str">
        <f>IF(Sporskiftekort!B34="","",Sporskiftekort!B34)</f>
        <v/>
      </c>
      <c r="C34" s="3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46"/>
    </row>
    <row r="35" spans="1:19" ht="15" customHeight="1" x14ac:dyDescent="0.2">
      <c r="A35" s="45" t="str">
        <f>IF(Sporskiftekort!A35="","",Sporskiftekort!A35)</f>
        <v/>
      </c>
      <c r="B35" s="62" t="str">
        <f>IF(Sporskiftekort!B35="","",Sporskiftekort!B35)</f>
        <v/>
      </c>
      <c r="C35" s="3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46"/>
    </row>
    <row r="36" spans="1:19" ht="15" customHeight="1" thickBot="1" x14ac:dyDescent="0.25">
      <c r="A36" s="47" t="str">
        <f>IF(Sporskiftekort!A36="","",Sporskiftekort!A36)</f>
        <v/>
      </c>
      <c r="B36" s="63" t="str">
        <f>IF(Sporskiftekort!B36="","",Sporskiftekort!B36)</f>
        <v/>
      </c>
      <c r="C36" s="4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48"/>
    </row>
  </sheetData>
  <mergeCells count="14">
    <mergeCell ref="A2:B3"/>
    <mergeCell ref="A7:B7"/>
    <mergeCell ref="A9:B10"/>
    <mergeCell ref="A11:B12"/>
    <mergeCell ref="A1:S1"/>
    <mergeCell ref="A4:B4"/>
    <mergeCell ref="A5:B5"/>
    <mergeCell ref="A6:B6"/>
    <mergeCell ref="A8:B8"/>
    <mergeCell ref="A13:B13"/>
    <mergeCell ref="A14:B14"/>
    <mergeCell ref="C13:S13"/>
    <mergeCell ref="A15:B15"/>
    <mergeCell ref="C15:S16"/>
  </mergeCells>
  <conditionalFormatting sqref="C17:S36">
    <cfRule type="containsBlanks" priority="2" stopIfTrue="1">
      <formula>LEN(TRIM(C17))=0</formula>
    </cfRule>
    <cfRule type="cellIs" dxfId="278" priority="3" operator="notBetween">
      <formula>C$12</formula>
      <formula>C$11</formula>
    </cfRule>
    <cfRule type="cellIs" dxfId="277" priority="4" operator="notBetween">
      <formula>C$10</formula>
      <formula>C$9</formula>
    </cfRule>
  </conditionalFormatting>
  <conditionalFormatting sqref="C17:S36">
    <cfRule type="expression" dxfId="276" priority="1" stopIfTrue="1">
      <formula>C$7="N/A"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>
    <oddFooter>&amp;L&amp;"ariel,Normal"&amp;6&amp;A
&amp;F
&amp;Z&amp;F&amp;9
&amp;C&amp;"Arial,Normal"&amp;9Side &amp;P af &amp;N&amp;R&amp;"ariel,Normal"&amp;6&amp;D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zoomScaleNormal="100" workbookViewId="0">
      <selection activeCell="C15" sqref="C15:Q16"/>
    </sheetView>
  </sheetViews>
  <sheetFormatPr defaultRowHeight="12" x14ac:dyDescent="0.2"/>
  <cols>
    <col min="1" max="1" width="20.7109375" style="1" customWidth="1"/>
    <col min="2" max="2" width="10.7109375" style="1" customWidth="1"/>
    <col min="3" max="17" width="7.7109375" style="1" customWidth="1"/>
    <col min="18" max="16384" width="9.140625" style="1"/>
  </cols>
  <sheetData>
    <row r="1" spans="1:17" ht="39.950000000000003" customHeight="1" thickBot="1" x14ac:dyDescent="0.25">
      <c r="A1" s="199" t="s">
        <v>133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</row>
    <row r="2" spans="1:17" ht="15" customHeight="1" x14ac:dyDescent="0.2">
      <c r="A2" s="172"/>
      <c r="B2" s="173"/>
      <c r="C2" s="12" t="s">
        <v>134</v>
      </c>
      <c r="D2" s="12" t="s">
        <v>135</v>
      </c>
      <c r="E2" s="12" t="s">
        <v>136</v>
      </c>
      <c r="F2" s="12" t="s">
        <v>137</v>
      </c>
      <c r="G2" s="12" t="s">
        <v>138</v>
      </c>
      <c r="H2" s="12" t="s">
        <v>139</v>
      </c>
      <c r="I2" s="12" t="s">
        <v>140</v>
      </c>
      <c r="J2" s="12" t="s">
        <v>141</v>
      </c>
      <c r="K2" s="12" t="s">
        <v>142</v>
      </c>
      <c r="L2" s="12" t="s">
        <v>143</v>
      </c>
      <c r="M2" s="12" t="s">
        <v>144</v>
      </c>
      <c r="N2" s="12" t="s">
        <v>145</v>
      </c>
      <c r="O2" s="12" t="s">
        <v>146</v>
      </c>
      <c r="P2" s="12" t="s">
        <v>147</v>
      </c>
      <c r="Q2" s="22" t="s">
        <v>148</v>
      </c>
    </row>
    <row r="3" spans="1:17" ht="15" customHeight="1" thickBot="1" x14ac:dyDescent="0.25">
      <c r="A3" s="176"/>
      <c r="B3" s="177"/>
      <c r="C3" s="15" t="s">
        <v>71</v>
      </c>
      <c r="D3" s="15" t="s">
        <v>71</v>
      </c>
      <c r="E3" s="15" t="s">
        <v>71</v>
      </c>
      <c r="F3" s="15" t="s">
        <v>71</v>
      </c>
      <c r="G3" s="15" t="s">
        <v>71</v>
      </c>
      <c r="H3" s="15" t="s">
        <v>71</v>
      </c>
      <c r="I3" s="15" t="s">
        <v>71</v>
      </c>
      <c r="J3" s="15" t="s">
        <v>71</v>
      </c>
      <c r="K3" s="15" t="s">
        <v>71</v>
      </c>
      <c r="L3" s="15" t="s">
        <v>71</v>
      </c>
      <c r="M3" s="15" t="s">
        <v>71</v>
      </c>
      <c r="N3" s="15" t="s">
        <v>71</v>
      </c>
      <c r="O3" s="15" t="s">
        <v>71</v>
      </c>
      <c r="P3" s="15" t="s">
        <v>71</v>
      </c>
      <c r="Q3" s="23" t="s">
        <v>71</v>
      </c>
    </row>
    <row r="4" spans="1:17" ht="15" hidden="1" customHeight="1" x14ac:dyDescent="0.2">
      <c r="A4" s="172" t="s">
        <v>75</v>
      </c>
      <c r="B4" s="173"/>
      <c r="C4" s="12" t="s">
        <v>149</v>
      </c>
      <c r="D4" s="12" t="s">
        <v>149</v>
      </c>
      <c r="E4" s="12" t="s">
        <v>149</v>
      </c>
      <c r="F4" s="12" t="s">
        <v>149</v>
      </c>
      <c r="G4" s="12" t="s">
        <v>149</v>
      </c>
      <c r="H4" s="12" t="s">
        <v>149</v>
      </c>
      <c r="I4" s="12" t="s">
        <v>149</v>
      </c>
      <c r="J4" s="12" t="s">
        <v>149</v>
      </c>
      <c r="K4" s="12" t="s">
        <v>149</v>
      </c>
      <c r="L4" s="12" t="s">
        <v>149</v>
      </c>
      <c r="M4" s="12" t="s">
        <v>149</v>
      </c>
      <c r="N4" s="12" t="s">
        <v>149</v>
      </c>
      <c r="O4" s="12" t="s">
        <v>149</v>
      </c>
      <c r="P4" s="12" t="s">
        <v>149</v>
      </c>
      <c r="Q4" s="12" t="s">
        <v>149</v>
      </c>
    </row>
    <row r="5" spans="1:17" ht="15" hidden="1" customHeight="1" x14ac:dyDescent="0.2">
      <c r="A5" s="174" t="s">
        <v>47</v>
      </c>
      <c r="B5" s="175"/>
      <c r="C5" s="9" t="str">
        <f>IF(C4="Stamspor",Sporskifte_Stamdata!$A$8,Sporskifte_Stamdata!$B$8)</f>
        <v>D og C</v>
      </c>
      <c r="D5" s="9" t="str">
        <f>IF(D4="Stamspor",Sporskifte_Stamdata!$A$8,Sporskifte_Stamdata!$B$8)</f>
        <v>D og C</v>
      </c>
      <c r="E5" s="9" t="str">
        <f>IF(E4="Stamspor",Sporskifte_Stamdata!$A$8,Sporskifte_Stamdata!$B$8)</f>
        <v>D og C</v>
      </c>
      <c r="F5" s="9" t="str">
        <f>IF(F4="Stamspor",Sporskifte_Stamdata!$A$8,Sporskifte_Stamdata!$B$8)</f>
        <v>D og C</v>
      </c>
      <c r="G5" s="9" t="str">
        <f>IF(G4="Stamspor",Sporskifte_Stamdata!$A$8,Sporskifte_Stamdata!$B$8)</f>
        <v>D og C</v>
      </c>
      <c r="H5" s="9" t="str">
        <f>IF(H4="Stamspor",Sporskifte_Stamdata!$A$8,Sporskifte_Stamdata!$B$8)</f>
        <v>D og C</v>
      </c>
      <c r="I5" s="9" t="str">
        <f>IF(I4="Stamspor",Sporskifte_Stamdata!$A$8,Sporskifte_Stamdata!$B$8)</f>
        <v>D og C</v>
      </c>
      <c r="J5" s="9" t="str">
        <f>IF(J4="Stamspor",Sporskifte_Stamdata!$A$8,Sporskifte_Stamdata!$B$8)</f>
        <v>D og C</v>
      </c>
      <c r="K5" s="9" t="str">
        <f>IF(K4="Stamspor",Sporskifte_Stamdata!$A$8,Sporskifte_Stamdata!$B$8)</f>
        <v>D og C</v>
      </c>
      <c r="L5" s="9" t="str">
        <f>IF(L4="Stamspor",Sporskifte_Stamdata!$A$8,Sporskifte_Stamdata!$B$8)</f>
        <v>D og C</v>
      </c>
      <c r="M5" s="9" t="str">
        <f>IF(M4="Stamspor",Sporskifte_Stamdata!$A$8,Sporskifte_Stamdata!$B$8)</f>
        <v>D og C</v>
      </c>
      <c r="N5" s="9" t="str">
        <f>IF(N4="Stamspor",Sporskifte_Stamdata!$A$8,Sporskifte_Stamdata!$B$8)</f>
        <v>D og C</v>
      </c>
      <c r="O5" s="9" t="str">
        <f>IF(O4="Stamspor",Sporskifte_Stamdata!$A$8,Sporskifte_Stamdata!$B$8)</f>
        <v>D og C</v>
      </c>
      <c r="P5" s="9" t="str">
        <f>IF(P4="Stamspor",Sporskifte_Stamdata!$A$8,Sporskifte_Stamdata!$B$8)</f>
        <v>D og C</v>
      </c>
      <c r="Q5" s="54" t="str">
        <f>IF(Q4="Stamspor",Sporskifte_Stamdata!$A$8,Sporskifte_Stamdata!$B$8)</f>
        <v>D og C</v>
      </c>
    </row>
    <row r="6" spans="1:17" ht="15" hidden="1" customHeight="1" x14ac:dyDescent="0.2">
      <c r="A6" s="174" t="s">
        <v>126</v>
      </c>
      <c r="B6" s="175"/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</row>
    <row r="7" spans="1:17" ht="15" customHeight="1" thickBot="1" x14ac:dyDescent="0.25">
      <c r="A7" s="176" t="s">
        <v>164</v>
      </c>
      <c r="B7" s="177"/>
      <c r="C7" s="58">
        <f>IF(VLOOKUP(Sporskifte_Stamdata!$C$6,Tabel810[],Kontrol_FAKOP_Tungeparti_Afvg!C$6,FALSE)=0,"N/A",VLOOKUP(Sporskifte_Stamdata!$C$6,Tabel810[],Kontrol_FAKOP_Tungeparti_Afvg!C$6,FALSE)-1400)</f>
        <v>45</v>
      </c>
      <c r="D7" s="18">
        <f>IF(VLOOKUP(Sporskifte_Stamdata!$C$6,Tabel810[],Kontrol_FAKOP_Tungeparti_Afvg!D$6,FALSE)=0,"N/A",VLOOKUP(Sporskifte_Stamdata!$C$6,Tabel810[],Kontrol_FAKOP_Tungeparti_Afvg!D$6,FALSE)-1400)</f>
        <v>49</v>
      </c>
      <c r="E7" s="18">
        <f>IF(VLOOKUP(Sporskifte_Stamdata!$C$6,Tabel810[],Kontrol_FAKOP_Tungeparti_Afvg!E$6,FALSE)=0,"N/A",VLOOKUP(Sporskifte_Stamdata!$C$6,Tabel810[],Kontrol_FAKOP_Tungeparti_Afvg!E$6,FALSE)-1400)</f>
        <v>48</v>
      </c>
      <c r="F7" s="18">
        <f>IF(VLOOKUP(Sporskifte_Stamdata!$C$6,Tabel810[],Kontrol_FAKOP_Tungeparti_Afvg!F$6,FALSE)=0,"N/A",VLOOKUP(Sporskifte_Stamdata!$C$6,Tabel810[],Kontrol_FAKOP_Tungeparti_Afvg!F$6,FALSE)-1400)</f>
        <v>47</v>
      </c>
      <c r="G7" s="18">
        <f>IF(VLOOKUP(Sporskifte_Stamdata!$C$6,Tabel810[],Kontrol_FAKOP_Tungeparti_Afvg!G$6,FALSE)=0,"N/A",VLOOKUP(Sporskifte_Stamdata!$C$6,Tabel810[],Kontrol_FAKOP_Tungeparti_Afvg!G$6,FALSE)-1400)</f>
        <v>45</v>
      </c>
      <c r="H7" s="18">
        <f>IF(VLOOKUP(Sporskifte_Stamdata!$C$6,Tabel810[],Kontrol_FAKOP_Tungeparti_Afvg!H$6,FALSE)=0,"N/A",VLOOKUP(Sporskifte_Stamdata!$C$6,Tabel810[],Kontrol_FAKOP_Tungeparti_Afvg!H$6,FALSE)-1400)</f>
        <v>43</v>
      </c>
      <c r="I7" s="18">
        <f>IF(VLOOKUP(Sporskifte_Stamdata!$C$6,Tabel810[],Kontrol_FAKOP_Tungeparti_Afvg!I$6,FALSE)=0,"N/A",VLOOKUP(Sporskifte_Stamdata!$C$6,Tabel810[],Kontrol_FAKOP_Tungeparti_Afvg!I$6,FALSE)-1400)</f>
        <v>42</v>
      </c>
      <c r="J7" s="18">
        <f>IF(VLOOKUP(Sporskifte_Stamdata!$C$6,Tabel810[],Kontrol_FAKOP_Tungeparti_Afvg!J$6,FALSE)=0,"N/A",VLOOKUP(Sporskifte_Stamdata!$C$6,Tabel810[],Kontrol_FAKOP_Tungeparti_Afvg!J$6,FALSE)-1400)</f>
        <v>40</v>
      </c>
      <c r="K7" s="18">
        <f>IF(VLOOKUP(Sporskifte_Stamdata!$C$6,Tabel810[],Kontrol_FAKOP_Tungeparti_Afvg!K$6,FALSE)=0,"N/A",VLOOKUP(Sporskifte_Stamdata!$C$6,Tabel810[],Kontrol_FAKOP_Tungeparti_Afvg!K$6,FALSE)-1400)</f>
        <v>38</v>
      </c>
      <c r="L7" s="18">
        <f>IF(VLOOKUP(Sporskifte_Stamdata!$C$6,Tabel810[],Kontrol_FAKOP_Tungeparti_Afvg!L$6,FALSE)=0,"N/A",VLOOKUP(Sporskifte_Stamdata!$C$6,Tabel810[],Kontrol_FAKOP_Tungeparti_Afvg!L$6,FALSE)-1400)</f>
        <v>37</v>
      </c>
      <c r="M7" s="18">
        <f>IF(VLOOKUP(Sporskifte_Stamdata!$C$6,Tabel810[],Kontrol_FAKOP_Tungeparti_Afvg!M$6,FALSE)=0,"N/A",VLOOKUP(Sporskifte_Stamdata!$C$6,Tabel810[],Kontrol_FAKOP_Tungeparti_Afvg!M$6,FALSE)-1400)</f>
        <v>35</v>
      </c>
      <c r="N7" s="18">
        <f>IF(VLOOKUP(Sporskifte_Stamdata!$C$6,Tabel810[],Kontrol_FAKOP_Tungeparti_Afvg!N$6,FALSE)=0,"N/A",VLOOKUP(Sporskifte_Stamdata!$C$6,Tabel810[],Kontrol_FAKOP_Tungeparti_Afvg!N$6,FALSE)-1400)</f>
        <v>35</v>
      </c>
      <c r="O7" s="18" t="str">
        <f>IF(VLOOKUP(Sporskifte_Stamdata!$C$6,Tabel810[],Kontrol_FAKOP_Tungeparti_Afvg!O$6,FALSE)=0,"N/A",VLOOKUP(Sporskifte_Stamdata!$C$6,Tabel810[],Kontrol_FAKOP_Tungeparti_Afvg!O$6,FALSE)-1400)</f>
        <v>N/A</v>
      </c>
      <c r="P7" s="18" t="str">
        <f>IF(VLOOKUP(Sporskifte_Stamdata!$C$6,Tabel810[],Kontrol_FAKOP_Tungeparti_Afvg!P$6,FALSE)=0,"N/A",VLOOKUP(Sporskifte_Stamdata!$C$6,Tabel810[],Kontrol_FAKOP_Tungeparti_Afvg!P$6,FALSE)-1400)</f>
        <v>N/A</v>
      </c>
      <c r="Q7" s="49" t="str">
        <f>IF(VLOOKUP(Sporskifte_Stamdata!$C$6,Tabel810[],Kontrol_FAKOP_Tungeparti_Afvg!Q$6,FALSE)=0,"N/A",VLOOKUP(Sporskifte_Stamdata!$C$6,Tabel810[],Kontrol_FAKOP_Tungeparti_Afvg!Q$6,FALSE)-1400)</f>
        <v>N/A</v>
      </c>
    </row>
    <row r="8" spans="1:17" ht="15" customHeight="1" thickBot="1" x14ac:dyDescent="0.25">
      <c r="A8" s="155" t="s">
        <v>257</v>
      </c>
      <c r="B8" s="156"/>
      <c r="C8" s="58" t="str">
        <f>IF(VLOOKUP(Sporskifte_Stamdata!$C$6,Tabel8101116[],Kontrol_FAKOP_Tungeparti_Afvg!C$6,FALSE)=0,"",VLOOKUP(Sporskifte_Stamdata!$C$6,Tabel8101116[],Kontrol_FAKOP_Tungeparti_Afvg!C$6,FALSE))</f>
        <v>005</v>
      </c>
      <c r="D8" s="18" t="str">
        <f>IF(VLOOKUP(Sporskifte_Stamdata!$C$6,Tabel8101116[],Kontrol_FAKOP_Tungeparti_Afvg!D$6,FALSE)=0,"",VLOOKUP(Sporskifte_Stamdata!$C$6,Tabel8101116[],Kontrol_FAKOP_Tungeparti_Afvg!D$6,FALSE))</f>
        <v>008</v>
      </c>
      <c r="E8" s="18" t="str">
        <f>IF(VLOOKUP(Sporskifte_Stamdata!$C$6,Tabel8101116[],Kontrol_FAKOP_Tungeparti_Afvg!E$6,FALSE)=0,"",VLOOKUP(Sporskifte_Stamdata!$C$6,Tabel8101116[],Kontrol_FAKOP_Tungeparti_Afvg!E$6,FALSE))</f>
        <v>011</v>
      </c>
      <c r="F8" s="18" t="str">
        <f>IF(VLOOKUP(Sporskifte_Stamdata!$C$6,Tabel8101116[],Kontrol_FAKOP_Tungeparti_Afvg!F$6,FALSE)=0,"",VLOOKUP(Sporskifte_Stamdata!$C$6,Tabel8101116[],Kontrol_FAKOP_Tungeparti_Afvg!F$6,FALSE))</f>
        <v>014</v>
      </c>
      <c r="G8" s="18" t="str">
        <f>IF(VLOOKUP(Sporskifte_Stamdata!$C$6,Tabel8101116[],Kontrol_FAKOP_Tungeparti_Afvg!G$6,FALSE)=0,"",VLOOKUP(Sporskifte_Stamdata!$C$6,Tabel8101116[],Kontrol_FAKOP_Tungeparti_Afvg!G$6,FALSE))</f>
        <v>017</v>
      </c>
      <c r="H8" s="18" t="str">
        <f>IF(VLOOKUP(Sporskifte_Stamdata!$C$6,Tabel8101116[],Kontrol_FAKOP_Tungeparti_Afvg!H$6,FALSE)=0,"",VLOOKUP(Sporskifte_Stamdata!$C$6,Tabel8101116[],Kontrol_FAKOP_Tungeparti_Afvg!H$6,FALSE))</f>
        <v>020</v>
      </c>
      <c r="I8" s="18" t="str">
        <f>IF(VLOOKUP(Sporskifte_Stamdata!$C$6,Tabel8101116[],Kontrol_FAKOP_Tungeparti_Afvg!I$6,FALSE)=0,"",VLOOKUP(Sporskifte_Stamdata!$C$6,Tabel8101116[],Kontrol_FAKOP_Tungeparti_Afvg!I$6,FALSE))</f>
        <v>023</v>
      </c>
      <c r="J8" s="18" t="str">
        <f>IF(VLOOKUP(Sporskifte_Stamdata!$C$6,Tabel8101116[],Kontrol_FAKOP_Tungeparti_Afvg!J$6,FALSE)=0,"",VLOOKUP(Sporskifte_Stamdata!$C$6,Tabel8101116[],Kontrol_FAKOP_Tungeparti_Afvg!J$6,FALSE))</f>
        <v>026</v>
      </c>
      <c r="K8" s="18" t="str">
        <f>IF(VLOOKUP(Sporskifte_Stamdata!$C$6,Tabel8101116[],Kontrol_FAKOP_Tungeparti_Afvg!K$6,FALSE)=0,"",VLOOKUP(Sporskifte_Stamdata!$C$6,Tabel8101116[],Kontrol_FAKOP_Tungeparti_Afvg!K$6,FALSE))</f>
        <v>029</v>
      </c>
      <c r="L8" s="18" t="str">
        <f>IF(VLOOKUP(Sporskifte_Stamdata!$C$6,Tabel8101116[],Kontrol_FAKOP_Tungeparti_Afvg!L$6,FALSE)=0,"",VLOOKUP(Sporskifte_Stamdata!$C$6,Tabel8101116[],Kontrol_FAKOP_Tungeparti_Afvg!L$6,FALSE))</f>
        <v>032</v>
      </c>
      <c r="M8" s="18" t="str">
        <f>IF(VLOOKUP(Sporskifte_Stamdata!$C$6,Tabel8101116[],Kontrol_FAKOP_Tungeparti_Afvg!M$6,FALSE)=0,"",VLOOKUP(Sporskifte_Stamdata!$C$6,Tabel8101116[],Kontrol_FAKOP_Tungeparti_Afvg!M$6,FALSE))</f>
        <v>035</v>
      </c>
      <c r="N8" s="18" t="str">
        <f>IF(VLOOKUP(Sporskifte_Stamdata!$C$6,Tabel8101116[],Kontrol_FAKOP_Tungeparti_Afvg!N$6,FALSE)=0,"",VLOOKUP(Sporskifte_Stamdata!$C$6,Tabel8101116[],Kontrol_FAKOP_Tungeparti_Afvg!N$6,FALSE))</f>
        <v>038</v>
      </c>
      <c r="O8" s="18" t="str">
        <f>IF(VLOOKUP(Sporskifte_Stamdata!$C$6,Tabel8101116[],Kontrol_FAKOP_Tungeparti_Afvg!O$6,FALSE)=0,"",VLOOKUP(Sporskifte_Stamdata!$C$6,Tabel8101116[],Kontrol_FAKOP_Tungeparti_Afvg!O$6,FALSE))</f>
        <v>N/A</v>
      </c>
      <c r="P8" s="18" t="str">
        <f>IF(VLOOKUP(Sporskifte_Stamdata!$C$6,Tabel8101116[],Kontrol_FAKOP_Tungeparti_Afvg!P$6,FALSE)=0,"",VLOOKUP(Sporskifte_Stamdata!$C$6,Tabel8101116[],Kontrol_FAKOP_Tungeparti_Afvg!P$6,FALSE))</f>
        <v>N/A</v>
      </c>
      <c r="Q8" s="49" t="str">
        <f>IF(VLOOKUP(Sporskifte_Stamdata!$C$6,Tabel8101116[],Kontrol_FAKOP_Tungeparti_Afvg!Q$6,FALSE)=0,"",VLOOKUP(Sporskifte_Stamdata!$C$6,Tabel8101116[],Kontrol_FAKOP_Tungeparti_Afvg!Q$6,FALSE))</f>
        <v>N/A</v>
      </c>
    </row>
    <row r="9" spans="1:17" ht="15" customHeight="1" x14ac:dyDescent="0.2">
      <c r="A9" s="178" t="s">
        <v>166</v>
      </c>
      <c r="B9" s="179"/>
      <c r="C9" s="73">
        <f>IF(C$7="N/A","N/A",IF((VLOOKUP(C$5,Tabel11[],2,FALSE)+Kontrol_FAKOP_Tungeparti_Afvg!C$7+1400)&gt;Tabel12[Maxsporvidde],(Tabel12[Maxsporvidde]-1400),(VLOOKUP(C$5,Tabel11[],2,FALSE)+Kontrol_FAKOP_Tungeparti_Afvg!C$7)))</f>
        <v>55</v>
      </c>
      <c r="D9" s="73">
        <f>IF(D$7="N/A","N/A",IF((VLOOKUP(D$5,Tabel11[],2,FALSE)+Kontrol_FAKOP_Tungeparti_Afvg!D$7+1400)&gt;Tabel12[Maxsporvidde],(Tabel12[Maxsporvidde]-1400),(VLOOKUP(D$5,Tabel11[],2,FALSE)+Kontrol_FAKOP_Tungeparti_Afvg!D$7)))</f>
        <v>59</v>
      </c>
      <c r="E9" s="73">
        <f>IF(E$7="N/A","N/A",IF((VLOOKUP(E$5,Tabel11[],2,FALSE)+Kontrol_FAKOP_Tungeparti_Afvg!E$7+1400)&gt;Tabel12[Maxsporvidde],(Tabel12[Maxsporvidde]-1400),(VLOOKUP(E$5,Tabel11[],2,FALSE)+Kontrol_FAKOP_Tungeparti_Afvg!E$7)))</f>
        <v>58</v>
      </c>
      <c r="F9" s="73">
        <f>IF(F$7="N/A","N/A",IF((VLOOKUP(F$5,Tabel11[],2,FALSE)+Kontrol_FAKOP_Tungeparti_Afvg!F$7+1400)&gt;Tabel12[Maxsporvidde],(Tabel12[Maxsporvidde]-1400),(VLOOKUP(F$5,Tabel11[],2,FALSE)+Kontrol_FAKOP_Tungeparti_Afvg!F$7)))</f>
        <v>57</v>
      </c>
      <c r="G9" s="73">
        <f>IF(G$7="N/A","N/A",IF((VLOOKUP(G$5,Tabel11[],2,FALSE)+Kontrol_FAKOP_Tungeparti_Afvg!G$7+1400)&gt;Tabel12[Maxsporvidde],(Tabel12[Maxsporvidde]-1400),(VLOOKUP(G$5,Tabel11[],2,FALSE)+Kontrol_FAKOP_Tungeparti_Afvg!G$7)))</f>
        <v>55</v>
      </c>
      <c r="H9" s="73">
        <f>IF(H$7="N/A","N/A",IF((VLOOKUP(H$5,Tabel11[],2,FALSE)+Kontrol_FAKOP_Tungeparti_Afvg!H$7+1400)&gt;Tabel12[Maxsporvidde],(Tabel12[Maxsporvidde]-1400),(VLOOKUP(H$5,Tabel11[],2,FALSE)+Kontrol_FAKOP_Tungeparti_Afvg!H$7)))</f>
        <v>53</v>
      </c>
      <c r="I9" s="73">
        <f>IF(I$7="N/A","N/A",IF((VLOOKUP(I$5,Tabel11[],2,FALSE)+Kontrol_FAKOP_Tungeparti_Afvg!I$7+1400)&gt;Tabel12[Maxsporvidde],(Tabel12[Maxsporvidde]-1400),(VLOOKUP(I$5,Tabel11[],2,FALSE)+Kontrol_FAKOP_Tungeparti_Afvg!I$7)))</f>
        <v>52</v>
      </c>
      <c r="J9" s="73">
        <f>IF(J$7="N/A","N/A",IF((VLOOKUP(J$5,Tabel11[],2,FALSE)+Kontrol_FAKOP_Tungeparti_Afvg!J$7+1400)&gt;Tabel12[Maxsporvidde],(Tabel12[Maxsporvidde]-1400),(VLOOKUP(J$5,Tabel11[],2,FALSE)+Kontrol_FAKOP_Tungeparti_Afvg!J$7)))</f>
        <v>50</v>
      </c>
      <c r="K9" s="73">
        <f>IF(K$7="N/A","N/A",IF((VLOOKUP(K$5,Tabel11[],2,FALSE)+Kontrol_FAKOP_Tungeparti_Afvg!K$7+1400)&gt;Tabel12[Maxsporvidde],(Tabel12[Maxsporvidde]-1400),(VLOOKUP(K$5,Tabel11[],2,FALSE)+Kontrol_FAKOP_Tungeparti_Afvg!K$7)))</f>
        <v>48</v>
      </c>
      <c r="L9" s="73">
        <f>IF(L$7="N/A","N/A",IF((VLOOKUP(L$5,Tabel11[],2,FALSE)+Kontrol_FAKOP_Tungeparti_Afvg!L$7+1400)&gt;Tabel12[Maxsporvidde],(Tabel12[Maxsporvidde]-1400),(VLOOKUP(L$5,Tabel11[],2,FALSE)+Kontrol_FAKOP_Tungeparti_Afvg!L$7)))</f>
        <v>47</v>
      </c>
      <c r="M9" s="73">
        <f>IF(M$7="N/A","N/A",IF((VLOOKUP(M$5,Tabel11[],2,FALSE)+Kontrol_FAKOP_Tungeparti_Afvg!M$7+1400)&gt;Tabel12[Maxsporvidde],(Tabel12[Maxsporvidde]-1400),(VLOOKUP(M$5,Tabel11[],2,FALSE)+Kontrol_FAKOP_Tungeparti_Afvg!M$7)))</f>
        <v>45</v>
      </c>
      <c r="N9" s="73">
        <f>IF(N$7="N/A","N/A",IF((VLOOKUP(N$5,Tabel11[],2,FALSE)+Kontrol_FAKOP_Tungeparti_Afvg!N$7+1400)&gt;Tabel12[Maxsporvidde],(Tabel12[Maxsporvidde]-1400),(VLOOKUP(N$5,Tabel11[],2,FALSE)+Kontrol_FAKOP_Tungeparti_Afvg!N$7)))</f>
        <v>45</v>
      </c>
      <c r="O9" s="50" t="str">
        <f>IF(O$7="N/A","N/A",IF((VLOOKUP(O$5,Tabel11[],2,FALSE)+Kontrol_FAKOP_Tungeparti_Afvg!O$7+1400)&gt;Tabel12[Maxsporvidde],(Tabel12[Maxsporvidde]-1400),(VLOOKUP(O$5,Tabel11[],2,FALSE)+Kontrol_FAKOP_Tungeparti_Afvg!O$7)))</f>
        <v>N/A</v>
      </c>
      <c r="P9" s="50" t="str">
        <f>IF(P$7="N/A","N/A",IF((VLOOKUP(P$5,Tabel11[],2,FALSE)+Kontrol_FAKOP_Tungeparti_Afvg!P$7+1400)&gt;Tabel12[Maxsporvidde],(Tabel12[Maxsporvidde]-1400),(VLOOKUP(P$5,Tabel11[],2,FALSE)+Kontrol_FAKOP_Tungeparti_Afvg!P$7)))</f>
        <v>N/A</v>
      </c>
      <c r="Q9" s="51" t="str">
        <f>IF(Q$7="N/A","N/A",IF((VLOOKUP(Q$5,Tabel11[],2,FALSE)+Kontrol_FAKOP_Tungeparti_Afvg!Q$7+1400)&gt;Tabel12[Maxsporvidde],(Tabel12[Maxsporvidde]-1400),(VLOOKUP(Q$5,Tabel11[],2,FALSE)+Kontrol_FAKOP_Tungeparti_Afvg!Q$7)))</f>
        <v>N/A</v>
      </c>
    </row>
    <row r="10" spans="1:17" ht="15" customHeight="1" thickBot="1" x14ac:dyDescent="0.25">
      <c r="A10" s="180"/>
      <c r="B10" s="181"/>
      <c r="C10" s="74">
        <f>IF(C$7="N/A","N/A",VLOOKUP(C$5,Tabel11[],3,FALSE)+Kontrol_FAKOP_Tungeparti_Afvg!C$7)</f>
        <v>41</v>
      </c>
      <c r="D10" s="74">
        <f>IF(D$7="N/A","N/A",VLOOKUP(D$5,Tabel11[],3,FALSE)+Kontrol_FAKOP_Tungeparti_Afvg!D$7)</f>
        <v>45</v>
      </c>
      <c r="E10" s="74">
        <f>IF(E$7="N/A","N/A",VLOOKUP(E$5,Tabel11[],3,FALSE)+Kontrol_FAKOP_Tungeparti_Afvg!E$7)</f>
        <v>44</v>
      </c>
      <c r="F10" s="74">
        <f>IF(F$7="N/A","N/A",VLOOKUP(F$5,Tabel11[],3,FALSE)+Kontrol_FAKOP_Tungeparti_Afvg!F$7)</f>
        <v>43</v>
      </c>
      <c r="G10" s="74">
        <f>IF(G$7="N/A","N/A",VLOOKUP(G$5,Tabel11[],3,FALSE)+Kontrol_FAKOP_Tungeparti_Afvg!G$7)</f>
        <v>41</v>
      </c>
      <c r="H10" s="74">
        <f>IF(H$7="N/A","N/A",VLOOKUP(H$5,Tabel11[],3,FALSE)+Kontrol_FAKOP_Tungeparti_Afvg!H$7)</f>
        <v>39</v>
      </c>
      <c r="I10" s="74">
        <f>IF(I$7="N/A","N/A",VLOOKUP(I$5,Tabel11[],3,FALSE)+Kontrol_FAKOP_Tungeparti_Afvg!I$7)</f>
        <v>38</v>
      </c>
      <c r="J10" s="74">
        <f>IF(J$7="N/A","N/A",VLOOKUP(J$5,Tabel11[],3,FALSE)+Kontrol_FAKOP_Tungeparti_Afvg!J$7)</f>
        <v>36</v>
      </c>
      <c r="K10" s="74">
        <f>IF(K$7="N/A","N/A",VLOOKUP(K$5,Tabel11[],3,FALSE)+Kontrol_FAKOP_Tungeparti_Afvg!K$7)</f>
        <v>34</v>
      </c>
      <c r="L10" s="74">
        <f>IF(L$7="N/A","N/A",VLOOKUP(L$5,Tabel11[],3,FALSE)+Kontrol_FAKOP_Tungeparti_Afvg!L$7)</f>
        <v>33</v>
      </c>
      <c r="M10" s="74">
        <f>IF(M$7="N/A","N/A",VLOOKUP(M$5,Tabel11[],3,FALSE)+Kontrol_FAKOP_Tungeparti_Afvg!M$7)</f>
        <v>31</v>
      </c>
      <c r="N10" s="74">
        <f>IF(N$7="N/A","N/A",VLOOKUP(N$5,Tabel11[],3,FALSE)+Kontrol_FAKOP_Tungeparti_Afvg!N$7)</f>
        <v>31</v>
      </c>
      <c r="O10" s="52" t="str">
        <f>IF(O$7="N/A","N/A",VLOOKUP(O$5,Tabel11[],3,FALSE)+Kontrol_FAKOP_Tungeparti_Afvg!O$7)</f>
        <v>N/A</v>
      </c>
      <c r="P10" s="52" t="str">
        <f>IF(P$7="N/A","N/A",VLOOKUP(P$5,Tabel11[],3,FALSE)+Kontrol_FAKOP_Tungeparti_Afvg!P$7)</f>
        <v>N/A</v>
      </c>
      <c r="Q10" s="53" t="str">
        <f>IF(Q$7="N/A","N/A",VLOOKUP(Q$5,Tabel11[],3,FALSE)+Kontrol_FAKOP_Tungeparti_Afvg!Q$7)</f>
        <v>N/A</v>
      </c>
    </row>
    <row r="11" spans="1:17" ht="15" customHeight="1" x14ac:dyDescent="0.2">
      <c r="A11" s="178" t="s">
        <v>165</v>
      </c>
      <c r="B11" s="179"/>
      <c r="C11" s="73">
        <f>IF(C$7="N/A","N/A",IF((VLOOKUP(C$5,Tabel1114[],2,FALSE)+Kontrol_FAKOP_Tungeparti_Afvg!C$7+1400)&gt;Tabel1215[Maxsporvidde],(Tabel1215[Maxsporvidde]-1400),(VLOOKUP(C$5,Tabel1114[],2,FALSE)+Kontrol_FAKOP_Tungeparti_Afvg!C$7)))</f>
        <v>58</v>
      </c>
      <c r="D11" s="73">
        <f>IF(D$7="N/A","N/A",IF((VLOOKUP(D$5,Tabel1114[],2,FALSE)+Kontrol_FAKOP_Tungeparti_Afvg!D$7+1400)&gt;Tabel1215[Maxsporvidde],(Tabel1215[Maxsporvidde]-1400),(VLOOKUP(D$5,Tabel1114[],2,FALSE)+Kontrol_FAKOP_Tungeparti_Afvg!D$7)))</f>
        <v>62</v>
      </c>
      <c r="E11" s="73">
        <f>IF(E$7="N/A","N/A",IF((VLOOKUP(E$5,Tabel1114[],2,FALSE)+Kontrol_FAKOP_Tungeparti_Afvg!E$7+1400)&gt;Tabel1215[Maxsporvidde],(Tabel1215[Maxsporvidde]-1400),(VLOOKUP(E$5,Tabel1114[],2,FALSE)+Kontrol_FAKOP_Tungeparti_Afvg!E$7)))</f>
        <v>61</v>
      </c>
      <c r="F11" s="73">
        <f>IF(F$7="N/A","N/A",IF((VLOOKUP(F$5,Tabel1114[],2,FALSE)+Kontrol_FAKOP_Tungeparti_Afvg!F$7+1400)&gt;Tabel1215[Maxsporvidde],(Tabel1215[Maxsporvidde]-1400),(VLOOKUP(F$5,Tabel1114[],2,FALSE)+Kontrol_FAKOP_Tungeparti_Afvg!F$7)))</f>
        <v>60</v>
      </c>
      <c r="G11" s="73">
        <f>IF(G$7="N/A","N/A",IF((VLOOKUP(G$5,Tabel1114[],2,FALSE)+Kontrol_FAKOP_Tungeparti_Afvg!G$7+1400)&gt;Tabel1215[Maxsporvidde],(Tabel1215[Maxsporvidde]-1400),(VLOOKUP(G$5,Tabel1114[],2,FALSE)+Kontrol_FAKOP_Tungeparti_Afvg!G$7)))</f>
        <v>58</v>
      </c>
      <c r="H11" s="73">
        <f>IF(H$7="N/A","N/A",IF((VLOOKUP(H$5,Tabel1114[],2,FALSE)+Kontrol_FAKOP_Tungeparti_Afvg!H$7+1400)&gt;Tabel1215[Maxsporvidde],(Tabel1215[Maxsporvidde]-1400),(VLOOKUP(H$5,Tabel1114[],2,FALSE)+Kontrol_FAKOP_Tungeparti_Afvg!H$7)))</f>
        <v>56</v>
      </c>
      <c r="I11" s="73">
        <f>IF(I$7="N/A","N/A",IF((VLOOKUP(I$5,Tabel1114[],2,FALSE)+Kontrol_FAKOP_Tungeparti_Afvg!I$7+1400)&gt;Tabel1215[Maxsporvidde],(Tabel1215[Maxsporvidde]-1400),(VLOOKUP(I$5,Tabel1114[],2,FALSE)+Kontrol_FAKOP_Tungeparti_Afvg!I$7)))</f>
        <v>55</v>
      </c>
      <c r="J11" s="73">
        <f>IF(J$7="N/A","N/A",IF((VLOOKUP(J$5,Tabel1114[],2,FALSE)+Kontrol_FAKOP_Tungeparti_Afvg!J$7+1400)&gt;Tabel1215[Maxsporvidde],(Tabel1215[Maxsporvidde]-1400),(VLOOKUP(J$5,Tabel1114[],2,FALSE)+Kontrol_FAKOP_Tungeparti_Afvg!J$7)))</f>
        <v>53</v>
      </c>
      <c r="K11" s="73">
        <f>IF(K$7="N/A","N/A",IF((VLOOKUP(K$5,Tabel1114[],2,FALSE)+Kontrol_FAKOP_Tungeparti_Afvg!K$7+1400)&gt;Tabel1215[Maxsporvidde],(Tabel1215[Maxsporvidde]-1400),(VLOOKUP(K$5,Tabel1114[],2,FALSE)+Kontrol_FAKOP_Tungeparti_Afvg!K$7)))</f>
        <v>51</v>
      </c>
      <c r="L11" s="73">
        <f>IF(L$7="N/A","N/A",IF((VLOOKUP(L$5,Tabel1114[],2,FALSE)+Kontrol_FAKOP_Tungeparti_Afvg!L$7+1400)&gt;Tabel1215[Maxsporvidde],(Tabel1215[Maxsporvidde]-1400),(VLOOKUP(L$5,Tabel1114[],2,FALSE)+Kontrol_FAKOP_Tungeparti_Afvg!L$7)))</f>
        <v>50</v>
      </c>
      <c r="M11" s="73">
        <f>IF(M$7="N/A","N/A",IF((VLOOKUP(M$5,Tabel1114[],2,FALSE)+Kontrol_FAKOP_Tungeparti_Afvg!M$7+1400)&gt;Tabel1215[Maxsporvidde],(Tabel1215[Maxsporvidde]-1400),(VLOOKUP(M$5,Tabel1114[],2,FALSE)+Kontrol_FAKOP_Tungeparti_Afvg!M$7)))</f>
        <v>48</v>
      </c>
      <c r="N11" s="73">
        <f>IF(N$7="N/A","N/A",IF((VLOOKUP(N$5,Tabel1114[],2,FALSE)+Kontrol_FAKOP_Tungeparti_Afvg!N$7+1400)&gt;Tabel1215[Maxsporvidde],(Tabel1215[Maxsporvidde]-1400),(VLOOKUP(N$5,Tabel1114[],2,FALSE)+Kontrol_FAKOP_Tungeparti_Afvg!N$7)))</f>
        <v>48</v>
      </c>
      <c r="O11" s="50" t="str">
        <f>IF(O$7="N/A","N/A",IF((VLOOKUP(O$5,Tabel1114[],2,FALSE)+Kontrol_FAKOP_Tungeparti_Afvg!O$7+1400)&gt;Tabel1215[Maxsporvidde],(Tabel1215[Maxsporvidde]-1400),(VLOOKUP(O$5,Tabel1114[],2,FALSE)+Kontrol_FAKOP_Tungeparti_Afvg!O$7)))</f>
        <v>N/A</v>
      </c>
      <c r="P11" s="50" t="str">
        <f>IF(P$7="N/A","N/A",IF((VLOOKUP(P$5,Tabel1114[],2,FALSE)+Kontrol_FAKOP_Tungeparti_Afvg!P$7+1400)&gt;Tabel1215[Maxsporvidde],(Tabel1215[Maxsporvidde]-1400),(VLOOKUP(P$5,Tabel1114[],2,FALSE)+Kontrol_FAKOP_Tungeparti_Afvg!P$7)))</f>
        <v>N/A</v>
      </c>
      <c r="Q11" s="51" t="str">
        <f>IF(Q$7="N/A","N/A",IF((VLOOKUP(Q$5,Tabel1114[],2,FALSE)+Kontrol_FAKOP_Tungeparti_Afvg!Q$7+1400)&gt;Tabel1215[Maxsporvidde],(Tabel1215[Maxsporvidde]-1400),(VLOOKUP(Q$5,Tabel1114[],2,FALSE)+Kontrol_FAKOP_Tungeparti_Afvg!Q$7)))</f>
        <v>N/A</v>
      </c>
    </row>
    <row r="12" spans="1:17" ht="15" customHeight="1" thickBot="1" x14ac:dyDescent="0.25">
      <c r="A12" s="180"/>
      <c r="B12" s="181"/>
      <c r="C12" s="74">
        <f>IF(C$7="N/A","N/A",VLOOKUP(C$5,Tabel1114[],3,FALSE)+Kontrol_FAKOP_Tungeparti_Afvg!C$7)</f>
        <v>41</v>
      </c>
      <c r="D12" s="74">
        <f>IF(D$7="N/A","N/A",VLOOKUP(D$5,Tabel1114[],3,FALSE)+Kontrol_FAKOP_Tungeparti_Afvg!D$7)</f>
        <v>45</v>
      </c>
      <c r="E12" s="74">
        <f>IF(E$7="N/A","N/A",VLOOKUP(E$5,Tabel1114[],3,FALSE)+Kontrol_FAKOP_Tungeparti_Afvg!E$7)</f>
        <v>44</v>
      </c>
      <c r="F12" s="74">
        <f>IF(F$7="N/A","N/A",VLOOKUP(F$5,Tabel1114[],3,FALSE)+Kontrol_FAKOP_Tungeparti_Afvg!F$7)</f>
        <v>43</v>
      </c>
      <c r="G12" s="74">
        <f>IF(G$7="N/A","N/A",VLOOKUP(G$5,Tabel1114[],3,FALSE)+Kontrol_FAKOP_Tungeparti_Afvg!G$7)</f>
        <v>41</v>
      </c>
      <c r="H12" s="74">
        <f>IF(H$7="N/A","N/A",VLOOKUP(H$5,Tabel1114[],3,FALSE)+Kontrol_FAKOP_Tungeparti_Afvg!H$7)</f>
        <v>39</v>
      </c>
      <c r="I12" s="74">
        <f>IF(I$7="N/A","N/A",VLOOKUP(I$5,Tabel1114[],3,FALSE)+Kontrol_FAKOP_Tungeparti_Afvg!I$7)</f>
        <v>38</v>
      </c>
      <c r="J12" s="74">
        <f>IF(J$7="N/A","N/A",VLOOKUP(J$5,Tabel1114[],3,FALSE)+Kontrol_FAKOP_Tungeparti_Afvg!J$7)</f>
        <v>36</v>
      </c>
      <c r="K12" s="74">
        <f>IF(K$7="N/A","N/A",VLOOKUP(K$5,Tabel1114[],3,FALSE)+Kontrol_FAKOP_Tungeparti_Afvg!K$7)</f>
        <v>34</v>
      </c>
      <c r="L12" s="74">
        <f>IF(L$7="N/A","N/A",VLOOKUP(L$5,Tabel1114[],3,FALSE)+Kontrol_FAKOP_Tungeparti_Afvg!L$7)</f>
        <v>33</v>
      </c>
      <c r="M12" s="74">
        <f>IF(M$7="N/A","N/A",VLOOKUP(M$5,Tabel1114[],3,FALSE)+Kontrol_FAKOP_Tungeparti_Afvg!M$7)</f>
        <v>31</v>
      </c>
      <c r="N12" s="74">
        <f>IF(N$7="N/A","N/A",VLOOKUP(N$5,Tabel1114[],3,FALSE)+Kontrol_FAKOP_Tungeparti_Afvg!N$7)</f>
        <v>31</v>
      </c>
      <c r="O12" s="52" t="str">
        <f>IF(O$7="N/A","N/A",VLOOKUP(O$5,Tabel1114[],3,FALSE)+Kontrol_FAKOP_Tungeparti_Afvg!O$7)</f>
        <v>N/A</v>
      </c>
      <c r="P12" s="52" t="str">
        <f>IF(P$7="N/A","N/A",VLOOKUP(P$5,Tabel1114[],3,FALSE)+Kontrol_FAKOP_Tungeparti_Afvg!P$7)</f>
        <v>N/A</v>
      </c>
      <c r="Q12" s="53" t="str">
        <f>IF(Q$7="N/A","N/A",VLOOKUP(Q$5,Tabel1114[],3,FALSE)+Kontrol_FAKOP_Tungeparti_Afvg!Q$7)</f>
        <v>N/A</v>
      </c>
    </row>
    <row r="13" spans="1:17" ht="15" customHeight="1" thickBot="1" x14ac:dyDescent="0.25">
      <c r="A13" s="155" t="s">
        <v>76</v>
      </c>
      <c r="B13" s="156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3"/>
    </row>
    <row r="14" spans="1:17" ht="50.1" customHeight="1" thickBot="1" x14ac:dyDescent="0.25">
      <c r="A14" s="157" t="s">
        <v>77</v>
      </c>
      <c r="B14" s="15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1:17" ht="15" customHeight="1" x14ac:dyDescent="0.2">
      <c r="A15" s="182" t="s">
        <v>78</v>
      </c>
      <c r="B15" s="183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83"/>
    </row>
    <row r="16" spans="1:17" ht="15" customHeight="1" thickBot="1" x14ac:dyDescent="0.25">
      <c r="A16" s="41" t="s">
        <v>80</v>
      </c>
      <c r="B16" s="48" t="s">
        <v>79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8"/>
    </row>
    <row r="17" spans="1:17" ht="15" customHeight="1" x14ac:dyDescent="0.2">
      <c r="A17" s="57" t="str">
        <f>IF(Sporskiftekort!A17="","",Sporskiftekort!A17)</f>
        <v/>
      </c>
      <c r="B17" s="61" t="str">
        <f>IF(Sporskiftekort!B17="","",Sporskiftekort!B17)</f>
        <v/>
      </c>
      <c r="C17" s="37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44"/>
    </row>
    <row r="18" spans="1:17" ht="15" customHeight="1" x14ac:dyDescent="0.2">
      <c r="A18" s="45" t="str">
        <f>IF(Sporskiftekort!A18="","",Sporskiftekort!A18)</f>
        <v/>
      </c>
      <c r="B18" s="62" t="str">
        <f>IF(Sporskiftekort!B18="","",Sporskiftekort!B18)</f>
        <v/>
      </c>
      <c r="C18" s="3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46"/>
    </row>
    <row r="19" spans="1:17" ht="15" customHeight="1" x14ac:dyDescent="0.2">
      <c r="A19" s="45" t="str">
        <f>IF(Sporskiftekort!A19="","",Sporskiftekort!A19)</f>
        <v/>
      </c>
      <c r="B19" s="62" t="str">
        <f>IF(Sporskiftekort!B19="","",Sporskiftekort!B19)</f>
        <v/>
      </c>
      <c r="C19" s="3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46"/>
    </row>
    <row r="20" spans="1:17" ht="15" customHeight="1" x14ac:dyDescent="0.2">
      <c r="A20" s="45" t="str">
        <f>IF(Sporskiftekort!A20="","",Sporskiftekort!A20)</f>
        <v/>
      </c>
      <c r="B20" s="62" t="str">
        <f>IF(Sporskiftekort!B20="","",Sporskiftekort!B20)</f>
        <v/>
      </c>
      <c r="C20" s="3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46"/>
    </row>
    <row r="21" spans="1:17" ht="15" customHeight="1" x14ac:dyDescent="0.2">
      <c r="A21" s="45" t="str">
        <f>IF(Sporskiftekort!A21="","",Sporskiftekort!A21)</f>
        <v/>
      </c>
      <c r="B21" s="62" t="str">
        <f>IF(Sporskiftekort!B21="","",Sporskiftekort!B21)</f>
        <v/>
      </c>
      <c r="C21" s="3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46"/>
    </row>
    <row r="22" spans="1:17" ht="15" customHeight="1" x14ac:dyDescent="0.2">
      <c r="A22" s="45" t="str">
        <f>IF(Sporskiftekort!A22="","",Sporskiftekort!A22)</f>
        <v/>
      </c>
      <c r="B22" s="62" t="str">
        <f>IF(Sporskiftekort!B22="","",Sporskiftekort!B22)</f>
        <v/>
      </c>
      <c r="C22" s="3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46"/>
    </row>
    <row r="23" spans="1:17" ht="15" customHeight="1" x14ac:dyDescent="0.2">
      <c r="A23" s="45" t="str">
        <f>IF(Sporskiftekort!A23="","",Sporskiftekort!A23)</f>
        <v/>
      </c>
      <c r="B23" s="62" t="str">
        <f>IF(Sporskiftekort!B23="","",Sporskiftekort!B23)</f>
        <v/>
      </c>
      <c r="C23" s="3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46"/>
    </row>
    <row r="24" spans="1:17" ht="15" customHeight="1" x14ac:dyDescent="0.2">
      <c r="A24" s="45" t="str">
        <f>IF(Sporskiftekort!A24="","",Sporskiftekort!A24)</f>
        <v/>
      </c>
      <c r="B24" s="62" t="str">
        <f>IF(Sporskiftekort!B24="","",Sporskiftekort!B24)</f>
        <v/>
      </c>
      <c r="C24" s="3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46"/>
    </row>
    <row r="25" spans="1:17" ht="15" customHeight="1" x14ac:dyDescent="0.2">
      <c r="A25" s="45" t="str">
        <f>IF(Sporskiftekort!A25="","",Sporskiftekort!A25)</f>
        <v/>
      </c>
      <c r="B25" s="62" t="str">
        <f>IF(Sporskiftekort!B25="","",Sporskiftekort!B25)</f>
        <v/>
      </c>
      <c r="C25" s="3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46"/>
    </row>
    <row r="26" spans="1:17" ht="15" customHeight="1" x14ac:dyDescent="0.2">
      <c r="A26" s="45" t="str">
        <f>IF(Sporskiftekort!A26="","",Sporskiftekort!A26)</f>
        <v/>
      </c>
      <c r="B26" s="62" t="str">
        <f>IF(Sporskiftekort!B26="","",Sporskiftekort!B26)</f>
        <v/>
      </c>
      <c r="C26" s="3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46"/>
    </row>
    <row r="27" spans="1:17" ht="15" customHeight="1" x14ac:dyDescent="0.2">
      <c r="A27" s="45" t="str">
        <f>IF(Sporskiftekort!A27="","",Sporskiftekort!A27)</f>
        <v/>
      </c>
      <c r="B27" s="62" t="str">
        <f>IF(Sporskiftekort!B27="","",Sporskiftekort!B27)</f>
        <v/>
      </c>
      <c r="C27" s="3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46"/>
    </row>
    <row r="28" spans="1:17" ht="15" customHeight="1" x14ac:dyDescent="0.2">
      <c r="A28" s="45" t="str">
        <f>IF(Sporskiftekort!A28="","",Sporskiftekort!A28)</f>
        <v/>
      </c>
      <c r="B28" s="62" t="str">
        <f>IF(Sporskiftekort!B28="","",Sporskiftekort!B28)</f>
        <v/>
      </c>
      <c r="C28" s="3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46"/>
    </row>
    <row r="29" spans="1:17" ht="15" customHeight="1" x14ac:dyDescent="0.2">
      <c r="A29" s="45" t="str">
        <f>IF(Sporskiftekort!A29="","",Sporskiftekort!A29)</f>
        <v/>
      </c>
      <c r="B29" s="62" t="str">
        <f>IF(Sporskiftekort!B29="","",Sporskiftekort!B29)</f>
        <v/>
      </c>
      <c r="C29" s="3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46"/>
    </row>
    <row r="30" spans="1:17" ht="15" customHeight="1" x14ac:dyDescent="0.2">
      <c r="A30" s="45" t="str">
        <f>IF(Sporskiftekort!A30="","",Sporskiftekort!A30)</f>
        <v/>
      </c>
      <c r="B30" s="62" t="str">
        <f>IF(Sporskiftekort!B30="","",Sporskiftekort!B30)</f>
        <v/>
      </c>
      <c r="C30" s="3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46"/>
    </row>
    <row r="31" spans="1:17" ht="15" customHeight="1" x14ac:dyDescent="0.2">
      <c r="A31" s="45" t="str">
        <f>IF(Sporskiftekort!A31="","",Sporskiftekort!A31)</f>
        <v/>
      </c>
      <c r="B31" s="62" t="str">
        <f>IF(Sporskiftekort!B31="","",Sporskiftekort!B31)</f>
        <v/>
      </c>
      <c r="C31" s="39"/>
      <c r="D31" s="10"/>
      <c r="E31" s="10"/>
      <c r="F31" s="10" t="s">
        <v>155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46"/>
    </row>
    <row r="32" spans="1:17" ht="15" customHeight="1" x14ac:dyDescent="0.2">
      <c r="A32" s="45" t="str">
        <f>IF(Sporskiftekort!A32="","",Sporskiftekort!A32)</f>
        <v/>
      </c>
      <c r="B32" s="62" t="str">
        <f>IF(Sporskiftekort!B32="","",Sporskiftekort!B32)</f>
        <v/>
      </c>
      <c r="C32" s="3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46"/>
    </row>
    <row r="33" spans="1:17" ht="15" customHeight="1" x14ac:dyDescent="0.2">
      <c r="A33" s="45" t="str">
        <f>IF(Sporskiftekort!A33="","",Sporskiftekort!A33)</f>
        <v/>
      </c>
      <c r="B33" s="62" t="str">
        <f>IF(Sporskiftekort!B33="","",Sporskiftekort!B33)</f>
        <v/>
      </c>
      <c r="C33" s="3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46"/>
    </row>
    <row r="34" spans="1:17" ht="15" customHeight="1" x14ac:dyDescent="0.2">
      <c r="A34" s="45" t="str">
        <f>IF(Sporskiftekort!A34="","",Sporskiftekort!A34)</f>
        <v/>
      </c>
      <c r="B34" s="62" t="str">
        <f>IF(Sporskiftekort!B34="","",Sporskiftekort!B34)</f>
        <v/>
      </c>
      <c r="C34" s="3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46"/>
    </row>
    <row r="35" spans="1:17" ht="15" customHeight="1" x14ac:dyDescent="0.2">
      <c r="A35" s="45" t="str">
        <f>IF(Sporskiftekort!A35="","",Sporskiftekort!A35)</f>
        <v/>
      </c>
      <c r="B35" s="62" t="str">
        <f>IF(Sporskiftekort!B35="","",Sporskiftekort!B35)</f>
        <v/>
      </c>
      <c r="C35" s="3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46"/>
    </row>
    <row r="36" spans="1:17" ht="15" customHeight="1" thickBot="1" x14ac:dyDescent="0.25">
      <c r="A36" s="47" t="str">
        <f>IF(Sporskiftekort!A36="","",Sporskiftekort!A36)</f>
        <v/>
      </c>
      <c r="B36" s="63" t="str">
        <f>IF(Sporskiftekort!B36="","",Sporskiftekort!B36)</f>
        <v/>
      </c>
      <c r="C36" s="4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48"/>
    </row>
  </sheetData>
  <mergeCells count="14">
    <mergeCell ref="A7:B7"/>
    <mergeCell ref="A1:Q1"/>
    <mergeCell ref="A2:B3"/>
    <mergeCell ref="A4:B4"/>
    <mergeCell ref="A5:B5"/>
    <mergeCell ref="A6:B6"/>
    <mergeCell ref="A15:B15"/>
    <mergeCell ref="C15:Q16"/>
    <mergeCell ref="A8:B8"/>
    <mergeCell ref="A9:B10"/>
    <mergeCell ref="A11:B12"/>
    <mergeCell ref="A13:B13"/>
    <mergeCell ref="C13:Q13"/>
    <mergeCell ref="A14:B14"/>
  </mergeCells>
  <conditionalFormatting sqref="C17:Q36">
    <cfRule type="containsBlanks" priority="2" stopIfTrue="1">
      <formula>LEN(TRIM(C17))=0</formula>
    </cfRule>
    <cfRule type="cellIs" dxfId="275" priority="3" operator="notBetween">
      <formula>C$12</formula>
      <formula>C$11</formula>
    </cfRule>
    <cfRule type="cellIs" dxfId="274" priority="4" operator="notBetween">
      <formula>C$10</formula>
      <formula>C$9</formula>
    </cfRule>
  </conditionalFormatting>
  <conditionalFormatting sqref="C17:Q36">
    <cfRule type="expression" dxfId="273" priority="1" stopIfTrue="1">
      <formula>C$7="N/A"</formula>
    </cfRule>
  </conditionalFormatting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Footer>&amp;L&amp;"ariel,Normal"&amp;6&amp;A
&amp;F
&amp;Z&amp;F&amp;9
&amp;C&amp;"Arial,Normal"&amp;9Side &amp;P af &amp;N&amp;R&amp;"ariel,Normal"&amp;6&amp;D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zoomScaleNormal="100" workbookViewId="0">
      <selection activeCell="E34" sqref="E34"/>
    </sheetView>
  </sheetViews>
  <sheetFormatPr defaultRowHeight="12" x14ac:dyDescent="0.2"/>
  <cols>
    <col min="1" max="1" width="20.7109375" style="1" customWidth="1"/>
    <col min="2" max="2" width="10.7109375" style="1" customWidth="1"/>
    <col min="3" max="8" width="9.140625" style="1" customWidth="1"/>
    <col min="9" max="16384" width="9.140625" style="1"/>
  </cols>
  <sheetData>
    <row r="1" spans="1:17" ht="39.950000000000003" customHeight="1" thickBot="1" x14ac:dyDescent="0.25">
      <c r="A1" s="208" t="s">
        <v>156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15" customHeight="1" x14ac:dyDescent="0.2">
      <c r="A2" s="172"/>
      <c r="B2" s="173"/>
      <c r="C2" s="172" t="s">
        <v>127</v>
      </c>
      <c r="D2" s="209"/>
      <c r="E2" s="173"/>
      <c r="F2" s="210" t="s">
        <v>149</v>
      </c>
      <c r="G2" s="209"/>
      <c r="H2" s="173"/>
    </row>
    <row r="3" spans="1:17" ht="15" customHeight="1" x14ac:dyDescent="0.2">
      <c r="A3" s="174"/>
      <c r="B3" s="175"/>
      <c r="C3" s="68" t="s">
        <v>84</v>
      </c>
      <c r="D3" s="9" t="s">
        <v>157</v>
      </c>
      <c r="E3" s="54" t="s">
        <v>158</v>
      </c>
      <c r="F3" s="29" t="s">
        <v>84</v>
      </c>
      <c r="G3" s="9" t="s">
        <v>157</v>
      </c>
      <c r="H3" s="54" t="s">
        <v>158</v>
      </c>
    </row>
    <row r="4" spans="1:17" ht="15" customHeight="1" thickBot="1" x14ac:dyDescent="0.25">
      <c r="A4" s="176"/>
      <c r="B4" s="177"/>
      <c r="C4" s="69" t="s">
        <v>71</v>
      </c>
      <c r="D4" s="15" t="s">
        <v>71</v>
      </c>
      <c r="E4" s="23" t="s">
        <v>73</v>
      </c>
      <c r="F4" s="27" t="s">
        <v>71</v>
      </c>
      <c r="G4" s="15" t="s">
        <v>71</v>
      </c>
      <c r="H4" s="23" t="s">
        <v>73</v>
      </c>
    </row>
    <row r="5" spans="1:17" ht="30" customHeight="1" thickBot="1" x14ac:dyDescent="0.25">
      <c r="A5" s="211" t="s">
        <v>203</v>
      </c>
      <c r="B5" s="171"/>
      <c r="C5" s="58" t="s">
        <v>108</v>
      </c>
      <c r="D5" s="18" t="s">
        <v>108</v>
      </c>
      <c r="E5" s="64">
        <v>2</v>
      </c>
      <c r="F5" s="28" t="s">
        <v>108</v>
      </c>
      <c r="G5" s="18" t="s">
        <v>108</v>
      </c>
      <c r="H5" s="64">
        <v>2</v>
      </c>
    </row>
    <row r="6" spans="1:17" ht="30" customHeight="1" thickBot="1" x14ac:dyDescent="0.25">
      <c r="A6" s="211" t="s">
        <v>204</v>
      </c>
      <c r="B6" s="171"/>
      <c r="C6" s="58" t="s">
        <v>108</v>
      </c>
      <c r="D6" s="18" t="s">
        <v>108</v>
      </c>
      <c r="E6" s="64">
        <v>1</v>
      </c>
      <c r="F6" s="28" t="s">
        <v>108</v>
      </c>
      <c r="G6" s="18" t="s">
        <v>108</v>
      </c>
      <c r="H6" s="64">
        <v>1</v>
      </c>
    </row>
    <row r="7" spans="1:17" ht="15" customHeight="1" thickBot="1" x14ac:dyDescent="0.25">
      <c r="A7" s="155" t="s">
        <v>76</v>
      </c>
      <c r="B7" s="156"/>
      <c r="C7" s="200"/>
      <c r="D7" s="201"/>
      <c r="E7" s="201"/>
      <c r="F7" s="201"/>
      <c r="G7" s="201"/>
      <c r="H7" s="171"/>
    </row>
    <row r="8" spans="1:17" ht="50.1" customHeight="1" thickBot="1" x14ac:dyDescent="0.25">
      <c r="A8" s="157" t="s">
        <v>77</v>
      </c>
      <c r="B8" s="158"/>
      <c r="C8" s="58"/>
      <c r="D8" s="18"/>
      <c r="E8" s="49"/>
      <c r="F8" s="28"/>
      <c r="G8" s="18"/>
      <c r="H8" s="49"/>
    </row>
    <row r="9" spans="1:17" ht="15" customHeight="1" x14ac:dyDescent="0.2">
      <c r="A9" s="182" t="s">
        <v>78</v>
      </c>
      <c r="B9" s="183"/>
      <c r="C9" s="202"/>
      <c r="D9" s="203"/>
      <c r="E9" s="203"/>
      <c r="F9" s="203"/>
      <c r="G9" s="203"/>
      <c r="H9" s="204"/>
    </row>
    <row r="10" spans="1:17" ht="15" customHeight="1" thickBot="1" x14ac:dyDescent="0.25">
      <c r="A10" s="41" t="s">
        <v>80</v>
      </c>
      <c r="B10" s="48" t="s">
        <v>79</v>
      </c>
      <c r="C10" s="205"/>
      <c r="D10" s="206"/>
      <c r="E10" s="206"/>
      <c r="F10" s="206"/>
      <c r="G10" s="206"/>
      <c r="H10" s="207"/>
    </row>
    <row r="11" spans="1:17" ht="15" customHeight="1" x14ac:dyDescent="0.2">
      <c r="A11" s="57" t="str">
        <f>IF(Sporskiftekort!A17="","",Sporskiftekort!A17)</f>
        <v/>
      </c>
      <c r="B11" s="65" t="str">
        <f>IF(Sporskiftekort!B17="","",Sporskiftekort!B17)</f>
        <v/>
      </c>
      <c r="C11" s="37"/>
      <c r="D11" s="34"/>
      <c r="E11" s="44" t="str">
        <f>IF(OR(C11="",D11=""),"",D11-C11)</f>
        <v/>
      </c>
      <c r="F11" s="33"/>
      <c r="G11" s="34"/>
      <c r="H11" s="44" t="str">
        <f>IF(OR(F11="",G11=""),"",G11-F11)</f>
        <v/>
      </c>
    </row>
    <row r="12" spans="1:17" ht="15" customHeight="1" x14ac:dyDescent="0.2">
      <c r="A12" s="45" t="str">
        <f>IF(Sporskiftekort!A18="","",Sporskiftekort!A18)</f>
        <v/>
      </c>
      <c r="B12" s="66" t="str">
        <f>IF(Sporskiftekort!B18="","",Sporskiftekort!B18)</f>
        <v/>
      </c>
      <c r="C12" s="39"/>
      <c r="D12" s="10"/>
      <c r="E12" s="46" t="str">
        <f t="shared" ref="E12:E30" si="0">IF(OR(C12="",D12=""),"",D12-C12)</f>
        <v/>
      </c>
      <c r="F12" s="35"/>
      <c r="G12" s="10"/>
      <c r="H12" s="46" t="str">
        <f t="shared" ref="H12:H30" si="1">IF(OR(F12="",G12=""),"",G12-F12)</f>
        <v/>
      </c>
    </row>
    <row r="13" spans="1:17" ht="15" customHeight="1" x14ac:dyDescent="0.2">
      <c r="A13" s="45" t="str">
        <f>IF(Sporskiftekort!A19="","",Sporskiftekort!A19)</f>
        <v/>
      </c>
      <c r="B13" s="66" t="str">
        <f>IF(Sporskiftekort!B19="","",Sporskiftekort!B19)</f>
        <v/>
      </c>
      <c r="C13" s="39"/>
      <c r="D13" s="10"/>
      <c r="E13" s="46" t="str">
        <f t="shared" si="0"/>
        <v/>
      </c>
      <c r="F13" s="35"/>
      <c r="G13" s="10"/>
      <c r="H13" s="46" t="str">
        <f t="shared" si="1"/>
        <v/>
      </c>
    </row>
    <row r="14" spans="1:17" ht="15" customHeight="1" x14ac:dyDescent="0.2">
      <c r="A14" s="45" t="str">
        <f>IF(Sporskiftekort!A20="","",Sporskiftekort!A20)</f>
        <v/>
      </c>
      <c r="B14" s="66" t="str">
        <f>IF(Sporskiftekort!B20="","",Sporskiftekort!B20)</f>
        <v/>
      </c>
      <c r="C14" s="39"/>
      <c r="D14" s="10"/>
      <c r="E14" s="46" t="str">
        <f t="shared" si="0"/>
        <v/>
      </c>
      <c r="F14" s="35"/>
      <c r="G14" s="10"/>
      <c r="H14" s="46" t="str">
        <f t="shared" si="1"/>
        <v/>
      </c>
    </row>
    <row r="15" spans="1:17" ht="15" customHeight="1" x14ac:dyDescent="0.2">
      <c r="A15" s="45" t="str">
        <f>IF(Sporskiftekort!A21="","",Sporskiftekort!A21)</f>
        <v/>
      </c>
      <c r="B15" s="66" t="str">
        <f>IF(Sporskiftekort!B21="","",Sporskiftekort!B21)</f>
        <v/>
      </c>
      <c r="C15" s="39"/>
      <c r="D15" s="10"/>
      <c r="E15" s="46" t="str">
        <f t="shared" si="0"/>
        <v/>
      </c>
      <c r="F15" s="35"/>
      <c r="G15" s="10"/>
      <c r="H15" s="46" t="str">
        <f t="shared" si="1"/>
        <v/>
      </c>
    </row>
    <row r="16" spans="1:17" ht="15" customHeight="1" x14ac:dyDescent="0.2">
      <c r="A16" s="45" t="str">
        <f>IF(Sporskiftekort!A22="","",Sporskiftekort!A22)</f>
        <v/>
      </c>
      <c r="B16" s="66" t="str">
        <f>IF(Sporskiftekort!B22="","",Sporskiftekort!B22)</f>
        <v/>
      </c>
      <c r="C16" s="39"/>
      <c r="D16" s="10"/>
      <c r="E16" s="46" t="str">
        <f t="shared" si="0"/>
        <v/>
      </c>
      <c r="F16" s="35"/>
      <c r="G16" s="10"/>
      <c r="H16" s="46" t="str">
        <f t="shared" si="1"/>
        <v/>
      </c>
    </row>
    <row r="17" spans="1:8" ht="15" customHeight="1" x14ac:dyDescent="0.2">
      <c r="A17" s="45" t="str">
        <f>IF(Sporskiftekort!A23="","",Sporskiftekort!A23)</f>
        <v/>
      </c>
      <c r="B17" s="66" t="str">
        <f>IF(Sporskiftekort!B23="","",Sporskiftekort!B23)</f>
        <v/>
      </c>
      <c r="C17" s="39"/>
      <c r="D17" s="10"/>
      <c r="E17" s="46" t="str">
        <f t="shared" si="0"/>
        <v/>
      </c>
      <c r="F17" s="35"/>
      <c r="G17" s="10"/>
      <c r="H17" s="46" t="str">
        <f t="shared" si="1"/>
        <v/>
      </c>
    </row>
    <row r="18" spans="1:8" ht="15" customHeight="1" x14ac:dyDescent="0.2">
      <c r="A18" s="45" t="str">
        <f>IF(Sporskiftekort!A24="","",Sporskiftekort!A24)</f>
        <v/>
      </c>
      <c r="B18" s="66" t="str">
        <f>IF(Sporskiftekort!B24="","",Sporskiftekort!B24)</f>
        <v/>
      </c>
      <c r="C18" s="39"/>
      <c r="D18" s="10"/>
      <c r="E18" s="46" t="str">
        <f t="shared" si="0"/>
        <v/>
      </c>
      <c r="F18" s="35"/>
      <c r="G18" s="10"/>
      <c r="H18" s="46" t="str">
        <f t="shared" si="1"/>
        <v/>
      </c>
    </row>
    <row r="19" spans="1:8" ht="15" customHeight="1" x14ac:dyDescent="0.2">
      <c r="A19" s="45" t="str">
        <f>IF(Sporskiftekort!A25="","",Sporskiftekort!A25)</f>
        <v/>
      </c>
      <c r="B19" s="66" t="str">
        <f>IF(Sporskiftekort!B25="","",Sporskiftekort!B25)</f>
        <v/>
      </c>
      <c r="C19" s="39"/>
      <c r="D19" s="10"/>
      <c r="E19" s="46" t="str">
        <f t="shared" si="0"/>
        <v/>
      </c>
      <c r="F19" s="35"/>
      <c r="G19" s="10"/>
      <c r="H19" s="46" t="str">
        <f t="shared" si="1"/>
        <v/>
      </c>
    </row>
    <row r="20" spans="1:8" ht="15" customHeight="1" x14ac:dyDescent="0.2">
      <c r="A20" s="45" t="str">
        <f>IF(Sporskiftekort!A26="","",Sporskiftekort!A26)</f>
        <v/>
      </c>
      <c r="B20" s="66" t="str">
        <f>IF(Sporskiftekort!B26="","",Sporskiftekort!B26)</f>
        <v/>
      </c>
      <c r="C20" s="39"/>
      <c r="D20" s="10"/>
      <c r="E20" s="46" t="str">
        <f t="shared" si="0"/>
        <v/>
      </c>
      <c r="F20" s="35"/>
      <c r="G20" s="10"/>
      <c r="H20" s="46" t="str">
        <f t="shared" si="1"/>
        <v/>
      </c>
    </row>
    <row r="21" spans="1:8" ht="15" customHeight="1" x14ac:dyDescent="0.2">
      <c r="A21" s="45" t="str">
        <f>IF(Sporskiftekort!A27="","",Sporskiftekort!A27)</f>
        <v/>
      </c>
      <c r="B21" s="66" t="str">
        <f>IF(Sporskiftekort!B27="","",Sporskiftekort!B27)</f>
        <v/>
      </c>
      <c r="C21" s="39"/>
      <c r="D21" s="10"/>
      <c r="E21" s="46" t="str">
        <f t="shared" si="0"/>
        <v/>
      </c>
      <c r="F21" s="35"/>
      <c r="G21" s="10"/>
      <c r="H21" s="46" t="str">
        <f t="shared" si="1"/>
        <v/>
      </c>
    </row>
    <row r="22" spans="1:8" ht="15" customHeight="1" x14ac:dyDescent="0.2">
      <c r="A22" s="45" t="str">
        <f>IF(Sporskiftekort!A28="","",Sporskiftekort!A28)</f>
        <v/>
      </c>
      <c r="B22" s="66" t="str">
        <f>IF(Sporskiftekort!B28="","",Sporskiftekort!B28)</f>
        <v/>
      </c>
      <c r="C22" s="39"/>
      <c r="D22" s="10"/>
      <c r="E22" s="46" t="str">
        <f t="shared" si="0"/>
        <v/>
      </c>
      <c r="F22" s="35"/>
      <c r="G22" s="10"/>
      <c r="H22" s="46" t="str">
        <f t="shared" si="1"/>
        <v/>
      </c>
    </row>
    <row r="23" spans="1:8" ht="15" customHeight="1" x14ac:dyDescent="0.2">
      <c r="A23" s="45" t="str">
        <f>IF(Sporskiftekort!A29="","",Sporskiftekort!A29)</f>
        <v/>
      </c>
      <c r="B23" s="66" t="str">
        <f>IF(Sporskiftekort!B29="","",Sporskiftekort!B29)</f>
        <v/>
      </c>
      <c r="C23" s="39"/>
      <c r="D23" s="10"/>
      <c r="E23" s="46" t="str">
        <f t="shared" si="0"/>
        <v/>
      </c>
      <c r="F23" s="35"/>
      <c r="G23" s="10"/>
      <c r="H23" s="46" t="str">
        <f t="shared" si="1"/>
        <v/>
      </c>
    </row>
    <row r="24" spans="1:8" ht="15" customHeight="1" x14ac:dyDescent="0.2">
      <c r="A24" s="45" t="str">
        <f>IF(Sporskiftekort!A30="","",Sporskiftekort!A30)</f>
        <v/>
      </c>
      <c r="B24" s="66" t="str">
        <f>IF(Sporskiftekort!B30="","",Sporskiftekort!B30)</f>
        <v/>
      </c>
      <c r="C24" s="39"/>
      <c r="D24" s="10"/>
      <c r="E24" s="46" t="str">
        <f t="shared" si="0"/>
        <v/>
      </c>
      <c r="F24" s="35"/>
      <c r="G24" s="10"/>
      <c r="H24" s="46" t="str">
        <f t="shared" si="1"/>
        <v/>
      </c>
    </row>
    <row r="25" spans="1:8" ht="15" customHeight="1" x14ac:dyDescent="0.2">
      <c r="A25" s="45" t="str">
        <f>IF(Sporskiftekort!A31="","",Sporskiftekort!A31)</f>
        <v/>
      </c>
      <c r="B25" s="66" t="str">
        <f>IF(Sporskiftekort!B31="","",Sporskiftekort!B31)</f>
        <v/>
      </c>
      <c r="C25" s="39"/>
      <c r="D25" s="10"/>
      <c r="E25" s="46" t="str">
        <f t="shared" si="0"/>
        <v/>
      </c>
      <c r="F25" s="35"/>
      <c r="G25" s="10"/>
      <c r="H25" s="46" t="str">
        <f t="shared" si="1"/>
        <v/>
      </c>
    </row>
    <row r="26" spans="1:8" ht="15" customHeight="1" x14ac:dyDescent="0.2">
      <c r="A26" s="45" t="str">
        <f>IF(Sporskiftekort!A32="","",Sporskiftekort!A32)</f>
        <v/>
      </c>
      <c r="B26" s="66" t="str">
        <f>IF(Sporskiftekort!B32="","",Sporskiftekort!B32)</f>
        <v/>
      </c>
      <c r="C26" s="39"/>
      <c r="D26" s="10"/>
      <c r="E26" s="46" t="str">
        <f t="shared" si="0"/>
        <v/>
      </c>
      <c r="F26" s="35"/>
      <c r="G26" s="10"/>
      <c r="H26" s="46" t="str">
        <f t="shared" si="1"/>
        <v/>
      </c>
    </row>
    <row r="27" spans="1:8" ht="15" customHeight="1" x14ac:dyDescent="0.2">
      <c r="A27" s="45" t="str">
        <f>IF(Sporskiftekort!A33="","",Sporskiftekort!A33)</f>
        <v/>
      </c>
      <c r="B27" s="66" t="str">
        <f>IF(Sporskiftekort!B33="","",Sporskiftekort!B33)</f>
        <v/>
      </c>
      <c r="C27" s="39"/>
      <c r="D27" s="10"/>
      <c r="E27" s="46" t="str">
        <f t="shared" si="0"/>
        <v/>
      </c>
      <c r="F27" s="35"/>
      <c r="G27" s="10"/>
      <c r="H27" s="46" t="str">
        <f t="shared" si="1"/>
        <v/>
      </c>
    </row>
    <row r="28" spans="1:8" ht="15" customHeight="1" x14ac:dyDescent="0.2">
      <c r="A28" s="45" t="str">
        <f>IF(Sporskiftekort!A34="","",Sporskiftekort!A34)</f>
        <v/>
      </c>
      <c r="B28" s="66" t="str">
        <f>IF(Sporskiftekort!B34="","",Sporskiftekort!B34)</f>
        <v/>
      </c>
      <c r="C28" s="39"/>
      <c r="D28" s="10"/>
      <c r="E28" s="46" t="str">
        <f t="shared" si="0"/>
        <v/>
      </c>
      <c r="F28" s="35"/>
      <c r="G28" s="10"/>
      <c r="H28" s="46" t="str">
        <f t="shared" si="1"/>
        <v/>
      </c>
    </row>
    <row r="29" spans="1:8" ht="15" customHeight="1" x14ac:dyDescent="0.2">
      <c r="A29" s="45" t="str">
        <f>IF(Sporskiftekort!A35="","",Sporskiftekort!A35)</f>
        <v/>
      </c>
      <c r="B29" s="66" t="str">
        <f>IF(Sporskiftekort!B35="","",Sporskiftekort!B35)</f>
        <v/>
      </c>
      <c r="C29" s="39"/>
      <c r="D29" s="10"/>
      <c r="E29" s="46" t="str">
        <f t="shared" si="0"/>
        <v/>
      </c>
      <c r="F29" s="35"/>
      <c r="G29" s="10"/>
      <c r="H29" s="46" t="str">
        <f t="shared" si="1"/>
        <v/>
      </c>
    </row>
    <row r="30" spans="1:8" ht="15" customHeight="1" thickBot="1" x14ac:dyDescent="0.25">
      <c r="A30" s="47" t="str">
        <f>IF(Sporskiftekort!A36="","",Sporskiftekort!A36)</f>
        <v/>
      </c>
      <c r="B30" s="67" t="str">
        <f>IF(Sporskiftekort!B36="","",Sporskiftekort!B36)</f>
        <v/>
      </c>
      <c r="C30" s="41"/>
      <c r="D30" s="2"/>
      <c r="E30" s="48" t="str">
        <f t="shared" si="0"/>
        <v/>
      </c>
      <c r="F30" s="36"/>
      <c r="G30" s="2"/>
      <c r="H30" s="48" t="str">
        <f t="shared" si="1"/>
        <v/>
      </c>
    </row>
    <row r="31" spans="1:8" x14ac:dyDescent="0.2">
      <c r="F31" s="1" t="s">
        <v>155</v>
      </c>
    </row>
  </sheetData>
  <mergeCells count="11">
    <mergeCell ref="A1:Q1"/>
    <mergeCell ref="C2:E2"/>
    <mergeCell ref="F2:H2"/>
    <mergeCell ref="A5:B5"/>
    <mergeCell ref="A6:B6"/>
    <mergeCell ref="A2:B4"/>
    <mergeCell ref="A7:B7"/>
    <mergeCell ref="A8:B8"/>
    <mergeCell ref="A9:B9"/>
    <mergeCell ref="C7:H7"/>
    <mergeCell ref="C9:H10"/>
  </mergeCells>
  <conditionalFormatting sqref="E11:E30">
    <cfRule type="containsBlanks" dxfId="272" priority="4" stopIfTrue="1">
      <formula>LEN(TRIM(E11))=0</formula>
    </cfRule>
    <cfRule type="cellIs" dxfId="271" priority="5" operator="lessThan">
      <formula>E$6</formula>
    </cfRule>
    <cfRule type="cellIs" dxfId="270" priority="6" operator="lessThan">
      <formula>E$5</formula>
    </cfRule>
  </conditionalFormatting>
  <conditionalFormatting sqref="H11:H30">
    <cfRule type="containsBlanks" dxfId="269" priority="1" stopIfTrue="1">
      <formula>LEN(TRIM(H11))=0</formula>
    </cfRule>
    <cfRule type="cellIs" dxfId="268" priority="2" operator="lessThan">
      <formula>H$6</formula>
    </cfRule>
    <cfRule type="cellIs" dxfId="267" priority="3" operator="lessThan">
      <formula>H$5</formula>
    </cfRule>
  </conditionalFormatting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Footer>&amp;L&amp;"ariel,Normal"&amp;6&amp;A
&amp;F
&amp;Z&amp;F&amp;9
&amp;C&amp;"Arial,Normal"&amp;9Side &amp;P af &amp;N&amp;R&amp;"ariel,Normal"&amp;6&amp;D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zoomScaleNormal="100" zoomScaleSheetLayoutView="100" workbookViewId="0">
      <selection activeCell="E34" sqref="E34"/>
    </sheetView>
  </sheetViews>
  <sheetFormatPr defaultRowHeight="12" x14ac:dyDescent="0.2"/>
  <cols>
    <col min="1" max="1" width="80.7109375" style="1" customWidth="1"/>
    <col min="2" max="2" width="20.7109375" style="1" customWidth="1"/>
    <col min="3" max="3" width="80.7109375" style="1" customWidth="1"/>
    <col min="4" max="16384" width="9.140625" style="1"/>
  </cols>
  <sheetData>
    <row r="1" spans="1:3" ht="15" customHeight="1" x14ac:dyDescent="0.2">
      <c r="A1" s="59" t="s">
        <v>24</v>
      </c>
      <c r="B1" s="59" t="s">
        <v>152</v>
      </c>
      <c r="C1" s="59" t="s">
        <v>153</v>
      </c>
    </row>
    <row r="2" spans="1:3" ht="15" customHeight="1" x14ac:dyDescent="0.2">
      <c r="A2" s="60" t="str">
        <f>Sporskifte_Stamdata!A2</f>
        <v>Avedøre Havnevej</v>
      </c>
      <c r="B2" s="60" t="str">
        <f>Sporskifte_Stamdata!C2</f>
        <v>N101</v>
      </c>
      <c r="C2" s="60">
        <f>Sporskifte_Stamdata!H2</f>
        <v>14526</v>
      </c>
    </row>
    <row r="3" spans="1:3" x14ac:dyDescent="0.2">
      <c r="A3" s="212"/>
      <c r="B3" s="213"/>
      <c r="C3" s="196"/>
    </row>
    <row r="4" spans="1:3" ht="409.5" customHeight="1" x14ac:dyDescent="0.2">
      <c r="A4" s="214"/>
      <c r="B4" s="215"/>
      <c r="C4" s="216"/>
    </row>
  </sheetData>
  <mergeCells count="1">
    <mergeCell ref="A3:C4"/>
  </mergeCells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Footer>&amp;L&amp;"ariel,Normal"&amp;6&amp;A
&amp;F
&amp;Z&amp;F&amp;9
&amp;C&amp;"Arial,Normal"&amp;9Side &amp;P af &amp;N&amp;R&amp;"ariel,Normal"&amp;6&amp;D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zoomScaleNormal="100" workbookViewId="0">
      <selection activeCell="E7" sqref="E7"/>
    </sheetView>
  </sheetViews>
  <sheetFormatPr defaultRowHeight="12" x14ac:dyDescent="0.2"/>
  <cols>
    <col min="1" max="1" width="20.7109375" style="1" customWidth="1"/>
    <col min="2" max="2" width="10.7109375" style="1" customWidth="1"/>
    <col min="3" max="8" width="9.140625" style="1" customWidth="1"/>
    <col min="9" max="20" width="9.140625" style="1"/>
    <col min="21" max="21" width="50.7109375" style="1" customWidth="1"/>
    <col min="22" max="16384" width="9.140625" style="1"/>
  </cols>
  <sheetData>
    <row r="1" spans="1:21" ht="39.950000000000003" customHeight="1" thickBot="1" x14ac:dyDescent="0.25">
      <c r="A1" s="230" t="s">
        <v>172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1:21" ht="15" customHeight="1" thickBot="1" x14ac:dyDescent="0.25">
      <c r="A2" s="241"/>
      <c r="B2" s="242"/>
      <c r="C2" s="247" t="s">
        <v>190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9"/>
      <c r="U2" s="217" t="s">
        <v>189</v>
      </c>
    </row>
    <row r="3" spans="1:21" ht="30" customHeight="1" thickBot="1" x14ac:dyDescent="0.25">
      <c r="A3" s="243"/>
      <c r="B3" s="244"/>
      <c r="C3" s="234" t="s">
        <v>175</v>
      </c>
      <c r="D3" s="235"/>
      <c r="E3" s="235"/>
      <c r="F3" s="235"/>
      <c r="G3" s="235"/>
      <c r="H3" s="235"/>
      <c r="I3" s="235"/>
      <c r="J3" s="235"/>
      <c r="K3" s="235"/>
      <c r="L3" s="236"/>
      <c r="M3" s="234" t="s">
        <v>176</v>
      </c>
      <c r="N3" s="235"/>
      <c r="O3" s="235"/>
      <c r="P3" s="235"/>
      <c r="Q3" s="235"/>
      <c r="R3" s="235"/>
      <c r="S3" s="235"/>
      <c r="T3" s="237"/>
      <c r="U3" s="218"/>
    </row>
    <row r="4" spans="1:21" ht="30" customHeight="1" thickBot="1" x14ac:dyDescent="0.25">
      <c r="A4" s="243"/>
      <c r="B4" s="244"/>
      <c r="C4" s="231" t="s">
        <v>171</v>
      </c>
      <c r="D4" s="232"/>
      <c r="E4" s="232"/>
      <c r="F4" s="232"/>
      <c r="G4" s="233"/>
      <c r="H4" s="231" t="s">
        <v>173</v>
      </c>
      <c r="I4" s="232"/>
      <c r="J4" s="232"/>
      <c r="K4" s="232"/>
      <c r="L4" s="233"/>
      <c r="M4" s="238" t="s">
        <v>177</v>
      </c>
      <c r="N4" s="239"/>
      <c r="O4" s="239"/>
      <c r="P4" s="240"/>
      <c r="Q4" s="238" t="s">
        <v>178</v>
      </c>
      <c r="R4" s="239"/>
      <c r="S4" s="239"/>
      <c r="T4" s="240"/>
      <c r="U4" s="218"/>
    </row>
    <row r="5" spans="1:21" ht="181.5" customHeight="1" thickBot="1" x14ac:dyDescent="0.25">
      <c r="A5" s="245"/>
      <c r="B5" s="246"/>
      <c r="C5" s="130" t="s">
        <v>161</v>
      </c>
      <c r="D5" s="131" t="s">
        <v>162</v>
      </c>
      <c r="E5" s="132" t="s">
        <v>183</v>
      </c>
      <c r="F5" s="131" t="s">
        <v>163</v>
      </c>
      <c r="G5" s="131" t="s">
        <v>182</v>
      </c>
      <c r="H5" s="130" t="s">
        <v>161</v>
      </c>
      <c r="I5" s="131" t="s">
        <v>162</v>
      </c>
      <c r="J5" s="132" t="s">
        <v>183</v>
      </c>
      <c r="K5" s="131" t="s">
        <v>163</v>
      </c>
      <c r="L5" s="92" t="s">
        <v>182</v>
      </c>
      <c r="M5" s="94" t="s">
        <v>174</v>
      </c>
      <c r="N5" s="92" t="s">
        <v>184</v>
      </c>
      <c r="O5" s="92" t="s">
        <v>185</v>
      </c>
      <c r="P5" s="93" t="s">
        <v>186</v>
      </c>
      <c r="Q5" s="84" t="s">
        <v>187</v>
      </c>
      <c r="R5" s="92" t="s">
        <v>188</v>
      </c>
      <c r="S5" s="92" t="s">
        <v>185</v>
      </c>
      <c r="T5" s="93" t="s">
        <v>186</v>
      </c>
      <c r="U5" s="218"/>
    </row>
    <row r="6" spans="1:21" ht="30" customHeight="1" thickBot="1" x14ac:dyDescent="0.25">
      <c r="A6" s="211" t="s">
        <v>167</v>
      </c>
      <c r="B6" s="171"/>
      <c r="C6" s="85" t="s">
        <v>108</v>
      </c>
      <c r="D6" s="19" t="s">
        <v>108</v>
      </c>
      <c r="E6" s="19" t="s">
        <v>108</v>
      </c>
      <c r="F6" s="19" t="s">
        <v>170</v>
      </c>
      <c r="G6" s="19" t="s">
        <v>170</v>
      </c>
      <c r="H6" s="85" t="s">
        <v>108</v>
      </c>
      <c r="I6" s="19" t="s">
        <v>108</v>
      </c>
      <c r="J6" s="19" t="s">
        <v>108</v>
      </c>
      <c r="K6" s="19" t="s">
        <v>170</v>
      </c>
      <c r="L6" s="19" t="s">
        <v>170</v>
      </c>
      <c r="M6" s="85" t="s">
        <v>108</v>
      </c>
      <c r="N6" s="19" t="s">
        <v>108</v>
      </c>
      <c r="O6" s="19" t="s">
        <v>108</v>
      </c>
      <c r="P6" s="20" t="s">
        <v>170</v>
      </c>
      <c r="Q6" s="85" t="s">
        <v>108</v>
      </c>
      <c r="R6" s="19" t="s">
        <v>108</v>
      </c>
      <c r="S6" s="19" t="s">
        <v>108</v>
      </c>
      <c r="T6" s="20" t="s">
        <v>170</v>
      </c>
      <c r="U6" s="218"/>
    </row>
    <row r="7" spans="1:21" ht="30" customHeight="1" thickBot="1" x14ac:dyDescent="0.25">
      <c r="A7" s="211" t="s">
        <v>168</v>
      </c>
      <c r="B7" s="171"/>
      <c r="C7" s="95">
        <v>3</v>
      </c>
      <c r="D7" s="96">
        <v>3</v>
      </c>
      <c r="E7" s="96">
        <f>VLOOKUP(Sporskifte_Stamdata!$A$8,Tabel111417[],2,FALSE)</f>
        <v>3</v>
      </c>
      <c r="F7" s="97" t="s">
        <v>170</v>
      </c>
      <c r="G7" s="19" t="s">
        <v>170</v>
      </c>
      <c r="H7" s="95">
        <v>3</v>
      </c>
      <c r="I7" s="96">
        <v>3</v>
      </c>
      <c r="J7" s="96">
        <f>VLOOKUP(Sporskifte_Stamdata!$B$8,Tabel111417[],2,FALSE)</f>
        <v>4</v>
      </c>
      <c r="K7" s="97" t="s">
        <v>170</v>
      </c>
      <c r="L7" s="19" t="s">
        <v>170</v>
      </c>
      <c r="M7" s="95">
        <v>2</v>
      </c>
      <c r="N7" s="96">
        <v>3</v>
      </c>
      <c r="O7" s="96">
        <v>3</v>
      </c>
      <c r="P7" s="98" t="s">
        <v>170</v>
      </c>
      <c r="Q7" s="95">
        <v>2</v>
      </c>
      <c r="R7" s="96">
        <v>3</v>
      </c>
      <c r="S7" s="96">
        <v>3</v>
      </c>
      <c r="T7" s="98" t="s">
        <v>170</v>
      </c>
      <c r="U7" s="219"/>
    </row>
    <row r="8" spans="1:21" ht="15" customHeight="1" thickBot="1" x14ac:dyDescent="0.3">
      <c r="A8" s="155" t="s">
        <v>76</v>
      </c>
      <c r="B8" s="156"/>
      <c r="C8" s="220"/>
      <c r="D8" s="221"/>
      <c r="E8" s="221"/>
      <c r="F8" s="221"/>
      <c r="G8" s="222"/>
      <c r="H8" s="221"/>
      <c r="I8" s="221"/>
      <c r="J8" s="221"/>
      <c r="K8" s="221"/>
      <c r="L8" s="222"/>
      <c r="M8" s="221"/>
      <c r="N8" s="221"/>
      <c r="O8" s="221"/>
      <c r="P8" s="221"/>
      <c r="Q8" s="221"/>
      <c r="R8" s="221"/>
      <c r="S8" s="221"/>
      <c r="T8" s="221"/>
      <c r="U8" s="223"/>
    </row>
    <row r="9" spans="1:21" ht="50.1" customHeight="1" thickBot="1" x14ac:dyDescent="0.3">
      <c r="A9" s="157" t="s">
        <v>77</v>
      </c>
      <c r="B9" s="158"/>
      <c r="C9" s="99"/>
      <c r="D9" s="100"/>
      <c r="E9" s="100"/>
      <c r="F9" s="100"/>
      <c r="G9" s="126"/>
      <c r="H9" s="99"/>
      <c r="I9" s="100"/>
      <c r="J9" s="100"/>
      <c r="K9" s="100"/>
      <c r="L9" s="126"/>
      <c r="M9" s="99"/>
      <c r="N9" s="100"/>
      <c r="O9" s="100"/>
      <c r="P9" s="101"/>
      <c r="Q9" s="99"/>
      <c r="R9" s="100"/>
      <c r="S9" s="100"/>
      <c r="T9" s="101"/>
      <c r="U9" s="102"/>
    </row>
    <row r="10" spans="1:21" ht="15" customHeight="1" x14ac:dyDescent="0.2">
      <c r="A10" s="182" t="s">
        <v>78</v>
      </c>
      <c r="B10" s="183"/>
      <c r="C10" s="224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6"/>
    </row>
    <row r="11" spans="1:21" ht="15" customHeight="1" thickBot="1" x14ac:dyDescent="0.25">
      <c r="A11" s="41" t="s">
        <v>80</v>
      </c>
      <c r="B11" s="48" t="s">
        <v>79</v>
      </c>
      <c r="C11" s="227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9"/>
    </row>
    <row r="12" spans="1:21" ht="15" customHeight="1" x14ac:dyDescent="0.2">
      <c r="A12" s="57" t="str">
        <f>IF(Sporskiftekort!A17="","",Sporskiftekort!A17)</f>
        <v/>
      </c>
      <c r="B12" s="78" t="str">
        <f>IF(Sporskiftekort!B17="","",Sporskiftekort!B17)</f>
        <v/>
      </c>
      <c r="C12" s="81"/>
      <c r="D12" s="82"/>
      <c r="E12" s="11"/>
      <c r="F12" s="11"/>
      <c r="G12" s="127"/>
      <c r="H12" s="70"/>
      <c r="I12" s="82"/>
      <c r="J12" s="82"/>
      <c r="K12" s="82"/>
      <c r="L12" s="61"/>
      <c r="M12" s="81"/>
      <c r="N12" s="82"/>
      <c r="O12" s="82"/>
      <c r="P12" s="83"/>
      <c r="Q12" s="81"/>
      <c r="R12" s="82"/>
      <c r="S12" s="82"/>
      <c r="T12" s="61"/>
      <c r="U12" s="103"/>
    </row>
    <row r="13" spans="1:21" ht="15" customHeight="1" x14ac:dyDescent="0.2">
      <c r="A13" s="45" t="str">
        <f>IF(Sporskiftekort!A18="","",Sporskiftekort!A18)</f>
        <v/>
      </c>
      <c r="B13" s="79" t="str">
        <f>IF(Sporskiftekort!B18="","",Sporskiftekort!B18)</f>
        <v/>
      </c>
      <c r="C13" s="39"/>
      <c r="D13" s="10"/>
      <c r="E13" s="9"/>
      <c r="F13" s="9"/>
      <c r="G13" s="128"/>
      <c r="H13" s="71"/>
      <c r="I13" s="10"/>
      <c r="J13" s="10"/>
      <c r="K13" s="10"/>
      <c r="L13" s="62"/>
      <c r="M13" s="39"/>
      <c r="N13" s="10"/>
      <c r="O13" s="10"/>
      <c r="P13" s="46"/>
      <c r="Q13" s="39"/>
      <c r="R13" s="10"/>
      <c r="S13" s="10"/>
      <c r="T13" s="62"/>
      <c r="U13" s="104"/>
    </row>
    <row r="14" spans="1:21" ht="15" customHeight="1" x14ac:dyDescent="0.2">
      <c r="A14" s="45" t="str">
        <f>IF(Sporskiftekort!A19="","",Sporskiftekort!A19)</f>
        <v/>
      </c>
      <c r="B14" s="79" t="str">
        <f>IF(Sporskiftekort!B19="","",Sporskiftekort!B19)</f>
        <v/>
      </c>
      <c r="C14" s="39"/>
      <c r="D14" s="10"/>
      <c r="E14" s="9"/>
      <c r="F14" s="9"/>
      <c r="G14" s="128"/>
      <c r="H14" s="71"/>
      <c r="I14" s="10"/>
      <c r="J14" s="10"/>
      <c r="K14" s="10"/>
      <c r="L14" s="62"/>
      <c r="M14" s="39"/>
      <c r="N14" s="10"/>
      <c r="O14" s="10"/>
      <c r="P14" s="46"/>
      <c r="Q14" s="39"/>
      <c r="R14" s="10"/>
      <c r="S14" s="10"/>
      <c r="T14" s="62"/>
      <c r="U14" s="104"/>
    </row>
    <row r="15" spans="1:21" ht="15" customHeight="1" x14ac:dyDescent="0.2">
      <c r="A15" s="45" t="str">
        <f>IF(Sporskiftekort!A20="","",Sporskiftekort!A20)</f>
        <v/>
      </c>
      <c r="B15" s="79" t="str">
        <f>IF(Sporskiftekort!B20="","",Sporskiftekort!B20)</f>
        <v/>
      </c>
      <c r="C15" s="39"/>
      <c r="D15" s="10"/>
      <c r="E15" s="9"/>
      <c r="F15" s="9"/>
      <c r="G15" s="128"/>
      <c r="H15" s="71"/>
      <c r="I15" s="10"/>
      <c r="J15" s="10"/>
      <c r="K15" s="10"/>
      <c r="L15" s="62"/>
      <c r="M15" s="39"/>
      <c r="N15" s="10"/>
      <c r="O15" s="10"/>
      <c r="P15" s="46"/>
      <c r="Q15" s="39"/>
      <c r="R15" s="10"/>
      <c r="S15" s="10"/>
      <c r="T15" s="62"/>
      <c r="U15" s="104"/>
    </row>
    <row r="16" spans="1:21" ht="15" customHeight="1" x14ac:dyDescent="0.2">
      <c r="A16" s="45" t="str">
        <f>IF(Sporskiftekort!A21="","",Sporskiftekort!A21)</f>
        <v/>
      </c>
      <c r="B16" s="79" t="str">
        <f>IF(Sporskiftekort!B21="","",Sporskiftekort!B21)</f>
        <v/>
      </c>
      <c r="C16" s="39"/>
      <c r="D16" s="10"/>
      <c r="E16" s="9"/>
      <c r="F16" s="9"/>
      <c r="G16" s="128"/>
      <c r="H16" s="71"/>
      <c r="I16" s="10"/>
      <c r="J16" s="10"/>
      <c r="K16" s="10"/>
      <c r="L16" s="62"/>
      <c r="M16" s="39"/>
      <c r="N16" s="10"/>
      <c r="O16" s="10"/>
      <c r="P16" s="46"/>
      <c r="Q16" s="39"/>
      <c r="R16" s="10"/>
      <c r="S16" s="10"/>
      <c r="T16" s="62"/>
      <c r="U16" s="104"/>
    </row>
    <row r="17" spans="1:21" ht="15" customHeight="1" x14ac:dyDescent="0.2">
      <c r="A17" s="45" t="str">
        <f>IF(Sporskiftekort!A22="","",Sporskiftekort!A22)</f>
        <v/>
      </c>
      <c r="B17" s="79" t="str">
        <f>IF(Sporskiftekort!B22="","",Sporskiftekort!B22)</f>
        <v/>
      </c>
      <c r="C17" s="39"/>
      <c r="D17" s="10"/>
      <c r="E17" s="9"/>
      <c r="F17" s="9"/>
      <c r="G17" s="128"/>
      <c r="H17" s="71"/>
      <c r="I17" s="10"/>
      <c r="J17" s="10"/>
      <c r="K17" s="10"/>
      <c r="L17" s="62"/>
      <c r="M17" s="39"/>
      <c r="N17" s="10"/>
      <c r="O17" s="10"/>
      <c r="P17" s="46"/>
      <c r="Q17" s="39"/>
      <c r="R17" s="10"/>
      <c r="S17" s="10"/>
      <c r="T17" s="62"/>
      <c r="U17" s="104"/>
    </row>
    <row r="18" spans="1:21" ht="15" customHeight="1" x14ac:dyDescent="0.2">
      <c r="A18" s="45" t="str">
        <f>IF(Sporskiftekort!A23="","",Sporskiftekort!A23)</f>
        <v/>
      </c>
      <c r="B18" s="79" t="str">
        <f>IF(Sporskiftekort!B23="","",Sporskiftekort!B23)</f>
        <v/>
      </c>
      <c r="C18" s="39"/>
      <c r="D18" s="10"/>
      <c r="E18" s="9"/>
      <c r="F18" s="9"/>
      <c r="G18" s="128"/>
      <c r="H18" s="71"/>
      <c r="I18" s="10"/>
      <c r="J18" s="10"/>
      <c r="K18" s="10"/>
      <c r="L18" s="62"/>
      <c r="M18" s="39"/>
      <c r="N18" s="10"/>
      <c r="O18" s="10"/>
      <c r="P18" s="46"/>
      <c r="Q18" s="39"/>
      <c r="R18" s="10"/>
      <c r="S18" s="10"/>
      <c r="T18" s="62"/>
      <c r="U18" s="104"/>
    </row>
    <row r="19" spans="1:21" ht="15" customHeight="1" x14ac:dyDescent="0.2">
      <c r="A19" s="45" t="str">
        <f>IF(Sporskiftekort!A24="","",Sporskiftekort!A24)</f>
        <v/>
      </c>
      <c r="B19" s="79" t="str">
        <f>IF(Sporskiftekort!B24="","",Sporskiftekort!B24)</f>
        <v/>
      </c>
      <c r="C19" s="39"/>
      <c r="D19" s="10"/>
      <c r="E19" s="9"/>
      <c r="F19" s="9"/>
      <c r="G19" s="128"/>
      <c r="H19" s="71"/>
      <c r="I19" s="10"/>
      <c r="J19" s="10"/>
      <c r="K19" s="10"/>
      <c r="L19" s="62"/>
      <c r="M19" s="39"/>
      <c r="N19" s="10"/>
      <c r="O19" s="10"/>
      <c r="P19" s="46"/>
      <c r="Q19" s="39"/>
      <c r="R19" s="10"/>
      <c r="S19" s="10"/>
      <c r="T19" s="62"/>
      <c r="U19" s="104"/>
    </row>
    <row r="20" spans="1:21" ht="15" customHeight="1" x14ac:dyDescent="0.2">
      <c r="A20" s="45" t="str">
        <f>IF(Sporskiftekort!A25="","",Sporskiftekort!A25)</f>
        <v/>
      </c>
      <c r="B20" s="79" t="str">
        <f>IF(Sporskiftekort!B25="","",Sporskiftekort!B25)</f>
        <v/>
      </c>
      <c r="C20" s="39"/>
      <c r="D20" s="10"/>
      <c r="E20" s="9"/>
      <c r="F20" s="9"/>
      <c r="G20" s="128"/>
      <c r="H20" s="71"/>
      <c r="I20" s="10"/>
      <c r="J20" s="10"/>
      <c r="K20" s="10"/>
      <c r="L20" s="62"/>
      <c r="M20" s="39"/>
      <c r="N20" s="10"/>
      <c r="O20" s="10"/>
      <c r="P20" s="46"/>
      <c r="Q20" s="39"/>
      <c r="R20" s="10"/>
      <c r="S20" s="10"/>
      <c r="T20" s="62"/>
      <c r="U20" s="104"/>
    </row>
    <row r="21" spans="1:21" ht="15" customHeight="1" x14ac:dyDescent="0.2">
      <c r="A21" s="45" t="str">
        <f>IF(Sporskiftekort!A26="","",Sporskiftekort!A26)</f>
        <v/>
      </c>
      <c r="B21" s="79" t="str">
        <f>IF(Sporskiftekort!B26="","",Sporskiftekort!B26)</f>
        <v/>
      </c>
      <c r="C21" s="39"/>
      <c r="D21" s="10"/>
      <c r="E21" s="9"/>
      <c r="F21" s="9"/>
      <c r="G21" s="128"/>
      <c r="H21" s="71"/>
      <c r="I21" s="10"/>
      <c r="J21" s="10"/>
      <c r="K21" s="10"/>
      <c r="L21" s="62"/>
      <c r="M21" s="39"/>
      <c r="N21" s="10"/>
      <c r="O21" s="10"/>
      <c r="P21" s="46"/>
      <c r="Q21" s="39"/>
      <c r="R21" s="10"/>
      <c r="S21" s="10"/>
      <c r="T21" s="62"/>
      <c r="U21" s="104"/>
    </row>
    <row r="22" spans="1:21" ht="15" customHeight="1" x14ac:dyDescent="0.2">
      <c r="A22" s="45" t="str">
        <f>IF(Sporskiftekort!A27="","",Sporskiftekort!A27)</f>
        <v/>
      </c>
      <c r="B22" s="79" t="str">
        <f>IF(Sporskiftekort!B27="","",Sporskiftekort!B27)</f>
        <v/>
      </c>
      <c r="C22" s="39"/>
      <c r="D22" s="10"/>
      <c r="E22" s="9"/>
      <c r="F22" s="9"/>
      <c r="G22" s="128"/>
      <c r="H22" s="71"/>
      <c r="I22" s="10"/>
      <c r="J22" s="10"/>
      <c r="K22" s="10"/>
      <c r="L22" s="62"/>
      <c r="M22" s="39"/>
      <c r="N22" s="10"/>
      <c r="O22" s="10"/>
      <c r="P22" s="46"/>
      <c r="Q22" s="39"/>
      <c r="R22" s="10"/>
      <c r="S22" s="10"/>
      <c r="T22" s="62"/>
      <c r="U22" s="104"/>
    </row>
    <row r="23" spans="1:21" ht="15" customHeight="1" x14ac:dyDescent="0.2">
      <c r="A23" s="45" t="str">
        <f>IF(Sporskiftekort!A28="","",Sporskiftekort!A28)</f>
        <v/>
      </c>
      <c r="B23" s="79" t="str">
        <f>IF(Sporskiftekort!B28="","",Sporskiftekort!B28)</f>
        <v/>
      </c>
      <c r="C23" s="39"/>
      <c r="D23" s="10"/>
      <c r="E23" s="9"/>
      <c r="F23" s="9"/>
      <c r="G23" s="128"/>
      <c r="H23" s="71"/>
      <c r="I23" s="10"/>
      <c r="J23" s="10"/>
      <c r="K23" s="10"/>
      <c r="L23" s="62"/>
      <c r="M23" s="39"/>
      <c r="N23" s="10"/>
      <c r="O23" s="10"/>
      <c r="P23" s="46"/>
      <c r="Q23" s="39"/>
      <c r="R23" s="10"/>
      <c r="S23" s="10"/>
      <c r="T23" s="62"/>
      <c r="U23" s="104"/>
    </row>
    <row r="24" spans="1:21" ht="15" customHeight="1" x14ac:dyDescent="0.2">
      <c r="A24" s="45" t="str">
        <f>IF(Sporskiftekort!A29="","",Sporskiftekort!A29)</f>
        <v/>
      </c>
      <c r="B24" s="79" t="str">
        <f>IF(Sporskiftekort!B29="","",Sporskiftekort!B29)</f>
        <v/>
      </c>
      <c r="C24" s="39"/>
      <c r="D24" s="10"/>
      <c r="E24" s="9"/>
      <c r="F24" s="9"/>
      <c r="G24" s="128"/>
      <c r="H24" s="71"/>
      <c r="I24" s="10"/>
      <c r="J24" s="10"/>
      <c r="K24" s="10"/>
      <c r="L24" s="62"/>
      <c r="M24" s="39"/>
      <c r="N24" s="10"/>
      <c r="O24" s="10"/>
      <c r="P24" s="46"/>
      <c r="Q24" s="39"/>
      <c r="R24" s="10"/>
      <c r="S24" s="10"/>
      <c r="T24" s="62"/>
      <c r="U24" s="104"/>
    </row>
    <row r="25" spans="1:21" ht="15" customHeight="1" x14ac:dyDescent="0.2">
      <c r="A25" s="45" t="str">
        <f>IF(Sporskiftekort!A30="","",Sporskiftekort!A30)</f>
        <v/>
      </c>
      <c r="B25" s="79" t="str">
        <f>IF(Sporskiftekort!B30="","",Sporskiftekort!B30)</f>
        <v/>
      </c>
      <c r="C25" s="39"/>
      <c r="D25" s="10"/>
      <c r="E25" s="9"/>
      <c r="F25" s="9"/>
      <c r="G25" s="128"/>
      <c r="H25" s="71"/>
      <c r="I25" s="10"/>
      <c r="J25" s="10"/>
      <c r="K25" s="10"/>
      <c r="L25" s="62"/>
      <c r="M25" s="39"/>
      <c r="N25" s="10"/>
      <c r="O25" s="10"/>
      <c r="P25" s="46"/>
      <c r="Q25" s="39"/>
      <c r="R25" s="10"/>
      <c r="S25" s="10"/>
      <c r="T25" s="62"/>
      <c r="U25" s="104"/>
    </row>
    <row r="26" spans="1:21" ht="15" customHeight="1" x14ac:dyDescent="0.2">
      <c r="A26" s="45" t="str">
        <f>IF(Sporskiftekort!A31="","",Sporskiftekort!A31)</f>
        <v/>
      </c>
      <c r="B26" s="79" t="str">
        <f>IF(Sporskiftekort!B31="","",Sporskiftekort!B31)</f>
        <v/>
      </c>
      <c r="C26" s="39"/>
      <c r="D26" s="10"/>
      <c r="E26" s="9"/>
      <c r="F26" s="9"/>
      <c r="G26" s="128"/>
      <c r="H26" s="71"/>
      <c r="I26" s="10"/>
      <c r="J26" s="10"/>
      <c r="K26" s="10"/>
      <c r="L26" s="62"/>
      <c r="M26" s="39"/>
      <c r="N26" s="10"/>
      <c r="O26" s="10"/>
      <c r="P26" s="46"/>
      <c r="Q26" s="39"/>
      <c r="R26" s="10"/>
      <c r="S26" s="10"/>
      <c r="T26" s="62"/>
      <c r="U26" s="104"/>
    </row>
    <row r="27" spans="1:21" ht="15" customHeight="1" x14ac:dyDescent="0.2">
      <c r="A27" s="45" t="str">
        <f>IF(Sporskiftekort!A32="","",Sporskiftekort!A32)</f>
        <v/>
      </c>
      <c r="B27" s="79" t="str">
        <f>IF(Sporskiftekort!B32="","",Sporskiftekort!B32)</f>
        <v/>
      </c>
      <c r="C27" s="39"/>
      <c r="D27" s="10"/>
      <c r="E27" s="9"/>
      <c r="F27" s="9"/>
      <c r="G27" s="128"/>
      <c r="H27" s="71"/>
      <c r="I27" s="10"/>
      <c r="J27" s="10"/>
      <c r="K27" s="10"/>
      <c r="L27" s="62"/>
      <c r="M27" s="39"/>
      <c r="N27" s="10"/>
      <c r="O27" s="10"/>
      <c r="P27" s="46"/>
      <c r="Q27" s="39"/>
      <c r="R27" s="10"/>
      <c r="S27" s="10"/>
      <c r="T27" s="62"/>
      <c r="U27" s="104"/>
    </row>
    <row r="28" spans="1:21" ht="15" customHeight="1" x14ac:dyDescent="0.2">
      <c r="A28" s="45" t="str">
        <f>IF(Sporskiftekort!A33="","",Sporskiftekort!A33)</f>
        <v/>
      </c>
      <c r="B28" s="79" t="str">
        <f>IF(Sporskiftekort!B33="","",Sporskiftekort!B33)</f>
        <v/>
      </c>
      <c r="C28" s="39"/>
      <c r="D28" s="10"/>
      <c r="E28" s="9"/>
      <c r="F28" s="9"/>
      <c r="G28" s="128"/>
      <c r="H28" s="71"/>
      <c r="I28" s="10"/>
      <c r="J28" s="10"/>
      <c r="K28" s="10"/>
      <c r="L28" s="62"/>
      <c r="M28" s="39"/>
      <c r="N28" s="10"/>
      <c r="O28" s="10"/>
      <c r="P28" s="46"/>
      <c r="Q28" s="39"/>
      <c r="R28" s="10"/>
      <c r="S28" s="10"/>
      <c r="T28" s="62"/>
      <c r="U28" s="104"/>
    </row>
    <row r="29" spans="1:21" ht="15" customHeight="1" x14ac:dyDescent="0.2">
      <c r="A29" s="45" t="str">
        <f>IF(Sporskiftekort!A34="","",Sporskiftekort!A34)</f>
        <v/>
      </c>
      <c r="B29" s="79" t="str">
        <f>IF(Sporskiftekort!B34="","",Sporskiftekort!B34)</f>
        <v/>
      </c>
      <c r="C29" s="39"/>
      <c r="D29" s="10"/>
      <c r="E29" s="9"/>
      <c r="F29" s="9"/>
      <c r="G29" s="128"/>
      <c r="H29" s="71"/>
      <c r="I29" s="10"/>
      <c r="J29" s="10"/>
      <c r="K29" s="10"/>
      <c r="L29" s="62"/>
      <c r="M29" s="39"/>
      <c r="N29" s="10"/>
      <c r="O29" s="10"/>
      <c r="P29" s="46"/>
      <c r="Q29" s="39"/>
      <c r="R29" s="10"/>
      <c r="S29" s="10"/>
      <c r="T29" s="62"/>
      <c r="U29" s="104"/>
    </row>
    <row r="30" spans="1:21" ht="15" customHeight="1" x14ac:dyDescent="0.2">
      <c r="A30" s="45" t="str">
        <f>IF(Sporskiftekort!A35="","",Sporskiftekort!A35)</f>
        <v/>
      </c>
      <c r="B30" s="79" t="str">
        <f>IF(Sporskiftekort!B35="","",Sporskiftekort!B35)</f>
        <v/>
      </c>
      <c r="C30" s="39"/>
      <c r="D30" s="10"/>
      <c r="E30" s="9"/>
      <c r="F30" s="9"/>
      <c r="G30" s="128"/>
      <c r="H30" s="71"/>
      <c r="I30" s="10"/>
      <c r="J30" s="10"/>
      <c r="K30" s="10"/>
      <c r="L30" s="62"/>
      <c r="M30" s="39"/>
      <c r="N30" s="10"/>
      <c r="O30" s="10"/>
      <c r="P30" s="46"/>
      <c r="Q30" s="39"/>
      <c r="R30" s="10"/>
      <c r="S30" s="10"/>
      <c r="T30" s="62"/>
      <c r="U30" s="104"/>
    </row>
    <row r="31" spans="1:21" ht="15" customHeight="1" thickBot="1" x14ac:dyDescent="0.25">
      <c r="A31" s="47" t="str">
        <f>IF(Sporskiftekort!A36="","",Sporskiftekort!A36)</f>
        <v/>
      </c>
      <c r="B31" s="80" t="str">
        <f>IF(Sporskiftekort!B36="","",Sporskiftekort!B36)</f>
        <v/>
      </c>
      <c r="C31" s="41"/>
      <c r="D31" s="2"/>
      <c r="E31" s="15"/>
      <c r="F31" s="15"/>
      <c r="G31" s="129"/>
      <c r="H31" s="72"/>
      <c r="I31" s="2"/>
      <c r="J31" s="2"/>
      <c r="K31" s="2"/>
      <c r="L31" s="63"/>
      <c r="M31" s="41"/>
      <c r="N31" s="2"/>
      <c r="O31" s="2"/>
      <c r="P31" s="48"/>
      <c r="Q31" s="41"/>
      <c r="R31" s="2"/>
      <c r="S31" s="2"/>
      <c r="T31" s="63"/>
      <c r="U31" s="105"/>
    </row>
    <row r="32" spans="1:21" ht="15" x14ac:dyDescent="0.25">
      <c r="E32" s="77"/>
      <c r="F32" s="77" t="s">
        <v>155</v>
      </c>
      <c r="G32" s="77"/>
      <c r="H32" s="77"/>
    </row>
  </sheetData>
  <mergeCells count="17">
    <mergeCell ref="A1:U1"/>
    <mergeCell ref="A7:B7"/>
    <mergeCell ref="C4:G4"/>
    <mergeCell ref="H4:L4"/>
    <mergeCell ref="C3:L3"/>
    <mergeCell ref="M3:T3"/>
    <mergeCell ref="M4:P4"/>
    <mergeCell ref="Q4:T4"/>
    <mergeCell ref="A2:B5"/>
    <mergeCell ref="A6:B6"/>
    <mergeCell ref="C2:T2"/>
    <mergeCell ref="A9:B9"/>
    <mergeCell ref="A10:B10"/>
    <mergeCell ref="U2:U7"/>
    <mergeCell ref="C8:U8"/>
    <mergeCell ref="C10:U11"/>
    <mergeCell ref="A8:B8"/>
  </mergeCells>
  <conditionalFormatting sqref="C12:T31">
    <cfRule type="cellIs" dxfId="266" priority="1" operator="equal">
      <formula>"Nej"</formula>
    </cfRule>
  </conditionalFormatting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Footer>&amp;L&amp;"ariel,Normal"&amp;6&amp;A
&amp;F
&amp;Z&amp;F&amp;9
&amp;C&amp;"Arial,Normal"&amp;9Side &amp;P af &amp;N&amp;R&amp;"ariel,Normal"&amp;6&amp;D &amp;T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Andet!$A$7:$A$8</xm:f>
          </x14:formula1>
          <xm:sqref>C12:T31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zoomScaleNormal="100" workbookViewId="0">
      <selection activeCell="G11" sqref="G11"/>
    </sheetView>
  </sheetViews>
  <sheetFormatPr defaultRowHeight="12" x14ac:dyDescent="0.2"/>
  <cols>
    <col min="1" max="1" width="20.7109375" style="1" customWidth="1"/>
    <col min="2" max="2" width="10.7109375" style="1" customWidth="1"/>
    <col min="3" max="11" width="9.140625" style="1" customWidth="1"/>
    <col min="12" max="18" width="9.140625" style="1"/>
    <col min="19" max="19" width="50.7109375" style="1" customWidth="1"/>
    <col min="20" max="16384" width="9.140625" style="1"/>
  </cols>
  <sheetData>
    <row r="1" spans="1:19" ht="39.950000000000003" customHeight="1" thickBot="1" x14ac:dyDescent="0.25">
      <c r="A1" s="230" t="s">
        <v>222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19" ht="15" customHeight="1" thickBot="1" x14ac:dyDescent="0.25">
      <c r="A2" s="241"/>
      <c r="B2" s="242"/>
      <c r="C2" s="247" t="s">
        <v>190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/>
      <c r="S2" s="217" t="s">
        <v>189</v>
      </c>
    </row>
    <row r="3" spans="1:19" ht="30" customHeight="1" thickBot="1" x14ac:dyDescent="0.25">
      <c r="A3" s="243"/>
      <c r="B3" s="244"/>
      <c r="C3" s="260" t="s">
        <v>247</v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2"/>
      <c r="S3" s="218"/>
    </row>
    <row r="4" spans="1:19" ht="30" customHeight="1" thickBot="1" x14ac:dyDescent="0.25">
      <c r="A4" s="243"/>
      <c r="B4" s="244"/>
      <c r="C4" s="247" t="s">
        <v>171</v>
      </c>
      <c r="D4" s="248"/>
      <c r="E4" s="248"/>
      <c r="F4" s="248"/>
      <c r="G4" s="248"/>
      <c r="H4" s="248"/>
      <c r="I4" s="248"/>
      <c r="J4" s="249"/>
      <c r="K4" s="247" t="s">
        <v>173</v>
      </c>
      <c r="L4" s="248"/>
      <c r="M4" s="248"/>
      <c r="N4" s="248"/>
      <c r="O4" s="248"/>
      <c r="P4" s="248"/>
      <c r="Q4" s="248"/>
      <c r="R4" s="249"/>
      <c r="S4" s="218"/>
    </row>
    <row r="5" spans="1:19" ht="144.94999999999999" customHeight="1" thickBot="1" x14ac:dyDescent="0.25">
      <c r="A5" s="245"/>
      <c r="B5" s="259"/>
      <c r="C5" s="94" t="s">
        <v>248</v>
      </c>
      <c r="D5" s="92" t="s">
        <v>249</v>
      </c>
      <c r="E5" s="92" t="s">
        <v>250</v>
      </c>
      <c r="F5" s="92" t="s">
        <v>251</v>
      </c>
      <c r="G5" s="92" t="s">
        <v>252</v>
      </c>
      <c r="H5" s="92" t="s">
        <v>253</v>
      </c>
      <c r="I5" s="92" t="s">
        <v>254</v>
      </c>
      <c r="J5" s="93" t="s">
        <v>255</v>
      </c>
      <c r="K5" s="94" t="s">
        <v>248</v>
      </c>
      <c r="L5" s="92" t="s">
        <v>249</v>
      </c>
      <c r="M5" s="92" t="s">
        <v>250</v>
      </c>
      <c r="N5" s="92" t="s">
        <v>251</v>
      </c>
      <c r="O5" s="92" t="s">
        <v>252</v>
      </c>
      <c r="P5" s="92" t="s">
        <v>253</v>
      </c>
      <c r="Q5" s="92" t="s">
        <v>254</v>
      </c>
      <c r="R5" s="93" t="s">
        <v>255</v>
      </c>
      <c r="S5" s="218"/>
    </row>
    <row r="6" spans="1:19" ht="15" hidden="1" customHeight="1" thickBot="1" x14ac:dyDescent="0.25">
      <c r="A6" s="211" t="s">
        <v>256</v>
      </c>
      <c r="B6" s="263"/>
      <c r="C6" s="137">
        <v>2</v>
      </c>
      <c r="D6" s="138">
        <v>3</v>
      </c>
      <c r="E6" s="138">
        <v>4</v>
      </c>
      <c r="F6" s="138">
        <v>5</v>
      </c>
      <c r="G6" s="138">
        <v>6</v>
      </c>
      <c r="H6" s="138">
        <v>7</v>
      </c>
      <c r="I6" s="138">
        <v>8</v>
      </c>
      <c r="J6" s="142">
        <v>9</v>
      </c>
      <c r="K6" s="137">
        <v>2</v>
      </c>
      <c r="L6" s="138">
        <v>3</v>
      </c>
      <c r="M6" s="138">
        <v>4</v>
      </c>
      <c r="N6" s="138">
        <v>5</v>
      </c>
      <c r="O6" s="138">
        <v>6</v>
      </c>
      <c r="P6" s="140">
        <v>7</v>
      </c>
      <c r="Q6" s="140">
        <v>8</v>
      </c>
      <c r="R6" s="141">
        <v>9</v>
      </c>
      <c r="S6" s="218"/>
    </row>
    <row r="7" spans="1:19" ht="15" customHeight="1" thickBot="1" x14ac:dyDescent="0.25">
      <c r="A7" s="211" t="s">
        <v>257</v>
      </c>
      <c r="B7" s="263"/>
      <c r="C7" s="135" t="str">
        <f>VLOOKUP(Sporskifte_Stamdata!$C$6,Tabel22[#All],C6,FALSE)</f>
        <v>004</v>
      </c>
      <c r="D7" s="136" t="str">
        <f>VLOOKUP(Sporskifte_Stamdata!$C$6,Tabel22[#All],D6,FALSE)</f>
        <v>009</v>
      </c>
      <c r="E7" s="136" t="str">
        <f>VLOOKUP(Sporskifte_Stamdata!$C$6,Tabel22[#All],E6,FALSE)</f>
        <v>013</v>
      </c>
      <c r="F7" s="136" t="str">
        <f>VLOOKUP(Sporskifte_Stamdata!$C$6,Tabel22[#All],F6,FALSE)</f>
        <v>018</v>
      </c>
      <c r="G7" s="136" t="str">
        <f>VLOOKUP(Sporskifte_Stamdata!$C$6,Tabel22[#All],G6,FALSE)</f>
        <v>023</v>
      </c>
      <c r="H7" s="136" t="str">
        <f>VLOOKUP(Sporskifte_Stamdata!$C$6,Tabel22[#All],H6,FALSE)</f>
        <v>028</v>
      </c>
      <c r="I7" s="136" t="str">
        <f>VLOOKUP(Sporskifte_Stamdata!$C$6,Tabel22[#All],I6,FALSE)</f>
        <v>N/A</v>
      </c>
      <c r="J7" s="143" t="str">
        <f>VLOOKUP(Sporskifte_Stamdata!$C$6,Tabel22[#All],J6,FALSE)</f>
        <v>N/A</v>
      </c>
      <c r="K7" s="139" t="str">
        <f>VLOOKUP(Sporskifte_Stamdata!$C$6,Tabel22[#All],K6,FALSE)</f>
        <v>004</v>
      </c>
      <c r="L7" s="136" t="str">
        <f>VLOOKUP(Sporskifte_Stamdata!$C$6,Tabel22[#All],L6,FALSE)</f>
        <v>009</v>
      </c>
      <c r="M7" s="136" t="str">
        <f>VLOOKUP(Sporskifte_Stamdata!$C$6,Tabel22[#All],M6,FALSE)</f>
        <v>013</v>
      </c>
      <c r="N7" s="136" t="str">
        <f>VLOOKUP(Sporskifte_Stamdata!$C$6,Tabel22[#All],N6,FALSE)</f>
        <v>018</v>
      </c>
      <c r="O7" s="136" t="str">
        <f>VLOOKUP(Sporskifte_Stamdata!$C$6,Tabel22[#All],O6,FALSE)</f>
        <v>023</v>
      </c>
      <c r="P7" s="136" t="str">
        <f>VLOOKUP(Sporskifte_Stamdata!$C$6,Tabel22[#All],P6,FALSE)</f>
        <v>028</v>
      </c>
      <c r="Q7" s="136" t="str">
        <f>VLOOKUP(Sporskifte_Stamdata!$C$6,Tabel22[#All],Q6,FALSE)</f>
        <v>N/A</v>
      </c>
      <c r="R7" s="143" t="str">
        <f>VLOOKUP(Sporskifte_Stamdata!$C$6,Tabel22[#All],R6,FALSE)</f>
        <v>N/A</v>
      </c>
      <c r="S7" s="218"/>
    </row>
    <row r="8" spans="1:19" ht="30" customHeight="1" thickBot="1" x14ac:dyDescent="0.25">
      <c r="A8" s="211" t="s">
        <v>167</v>
      </c>
      <c r="B8" s="263"/>
      <c r="C8" s="85" t="str">
        <f>IF(C7="N/A","N/A","Se Regler")</f>
        <v>Se Regler</v>
      </c>
      <c r="D8" s="19" t="str">
        <f t="shared" ref="D8:R8" si="0">IF(D7="N/A","N/A","Se Regler")</f>
        <v>Se Regler</v>
      </c>
      <c r="E8" s="19" t="str">
        <f t="shared" si="0"/>
        <v>Se Regler</v>
      </c>
      <c r="F8" s="19" t="str">
        <f t="shared" si="0"/>
        <v>Se Regler</v>
      </c>
      <c r="G8" s="19" t="str">
        <f t="shared" si="0"/>
        <v>Se Regler</v>
      </c>
      <c r="H8" s="19" t="str">
        <f t="shared" si="0"/>
        <v>Se Regler</v>
      </c>
      <c r="I8" s="19" t="str">
        <f t="shared" si="0"/>
        <v>N/A</v>
      </c>
      <c r="J8" s="20" t="str">
        <f t="shared" si="0"/>
        <v>N/A</v>
      </c>
      <c r="K8" s="85" t="str">
        <f t="shared" si="0"/>
        <v>Se Regler</v>
      </c>
      <c r="L8" s="19" t="str">
        <f t="shared" si="0"/>
        <v>Se Regler</v>
      </c>
      <c r="M8" s="19" t="str">
        <f t="shared" si="0"/>
        <v>Se Regler</v>
      </c>
      <c r="N8" s="19" t="str">
        <f t="shared" si="0"/>
        <v>Se Regler</v>
      </c>
      <c r="O8" s="19" t="str">
        <f t="shared" si="0"/>
        <v>Se Regler</v>
      </c>
      <c r="P8" s="19" t="str">
        <f t="shared" si="0"/>
        <v>Se Regler</v>
      </c>
      <c r="Q8" s="19" t="str">
        <f t="shared" si="0"/>
        <v>N/A</v>
      </c>
      <c r="R8" s="20" t="str">
        <f t="shared" si="0"/>
        <v>N/A</v>
      </c>
      <c r="S8" s="218"/>
    </row>
    <row r="9" spans="1:19" ht="30" customHeight="1" thickBot="1" x14ac:dyDescent="0.25">
      <c r="A9" s="211" t="s">
        <v>168</v>
      </c>
      <c r="B9" s="263"/>
      <c r="C9" s="144" t="str">
        <f>IF(C7="N/A","N/A","N/A")</f>
        <v>N/A</v>
      </c>
      <c r="D9" s="145" t="str">
        <f t="shared" ref="D9:R9" si="1">IF(D7="N/A","N/A","N/A")</f>
        <v>N/A</v>
      </c>
      <c r="E9" s="145" t="str">
        <f t="shared" si="1"/>
        <v>N/A</v>
      </c>
      <c r="F9" s="145" t="str">
        <f t="shared" si="1"/>
        <v>N/A</v>
      </c>
      <c r="G9" s="145" t="str">
        <f t="shared" si="1"/>
        <v>N/A</v>
      </c>
      <c r="H9" s="145" t="str">
        <f t="shared" si="1"/>
        <v>N/A</v>
      </c>
      <c r="I9" s="145" t="str">
        <f t="shared" si="1"/>
        <v>N/A</v>
      </c>
      <c r="J9" s="146" t="str">
        <f t="shared" si="1"/>
        <v>N/A</v>
      </c>
      <c r="K9" s="144" t="str">
        <f t="shared" si="1"/>
        <v>N/A</v>
      </c>
      <c r="L9" s="145" t="str">
        <f t="shared" si="1"/>
        <v>N/A</v>
      </c>
      <c r="M9" s="145" t="str">
        <f t="shared" si="1"/>
        <v>N/A</v>
      </c>
      <c r="N9" s="145" t="str">
        <f t="shared" si="1"/>
        <v>N/A</v>
      </c>
      <c r="O9" s="145" t="str">
        <f t="shared" si="1"/>
        <v>N/A</v>
      </c>
      <c r="P9" s="145" t="str">
        <f t="shared" si="1"/>
        <v>N/A</v>
      </c>
      <c r="Q9" s="145" t="str">
        <f t="shared" si="1"/>
        <v>N/A</v>
      </c>
      <c r="R9" s="146" t="str">
        <f t="shared" si="1"/>
        <v>N/A</v>
      </c>
      <c r="S9" s="219"/>
    </row>
    <row r="10" spans="1:19" ht="15" customHeight="1" thickBot="1" x14ac:dyDescent="0.3">
      <c r="A10" s="155" t="s">
        <v>76</v>
      </c>
      <c r="B10" s="156"/>
      <c r="C10" s="250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2"/>
    </row>
    <row r="11" spans="1:19" ht="50.1" customHeight="1" thickBot="1" x14ac:dyDescent="0.3">
      <c r="A11" s="157" t="s">
        <v>77</v>
      </c>
      <c r="B11" s="158"/>
      <c r="C11" s="99"/>
      <c r="D11" s="100"/>
      <c r="E11" s="100"/>
      <c r="F11" s="100"/>
      <c r="G11" s="126"/>
      <c r="H11" s="126"/>
      <c r="I11" s="126"/>
      <c r="J11" s="101"/>
      <c r="K11" s="99"/>
      <c r="L11" s="100"/>
      <c r="M11" s="100"/>
      <c r="N11" s="100"/>
      <c r="O11" s="126"/>
      <c r="P11" s="126"/>
      <c r="Q11" s="126"/>
      <c r="R11" s="126"/>
      <c r="S11" s="102"/>
    </row>
    <row r="12" spans="1:19" ht="15" customHeight="1" x14ac:dyDescent="0.2">
      <c r="A12" s="182" t="s">
        <v>78</v>
      </c>
      <c r="B12" s="183"/>
      <c r="C12" s="253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5"/>
    </row>
    <row r="13" spans="1:19" ht="15" customHeight="1" thickBot="1" x14ac:dyDescent="0.25">
      <c r="A13" s="41" t="s">
        <v>80</v>
      </c>
      <c r="B13" s="48" t="s">
        <v>79</v>
      </c>
      <c r="C13" s="256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8"/>
    </row>
    <row r="14" spans="1:19" ht="15" customHeight="1" x14ac:dyDescent="0.2">
      <c r="A14" s="57" t="str">
        <f>IF(Sporskiftekort!A17="","",Sporskiftekort!A17)</f>
        <v/>
      </c>
      <c r="B14" s="65" t="str">
        <f>IF(Sporskiftekort!B17="","",Sporskiftekort!B17)</f>
        <v/>
      </c>
      <c r="C14" s="37"/>
      <c r="D14" s="34"/>
      <c r="E14" s="34"/>
      <c r="F14" s="34"/>
      <c r="G14" s="34"/>
      <c r="H14" s="34"/>
      <c r="I14" s="34"/>
      <c r="J14" s="44"/>
      <c r="K14" s="37"/>
      <c r="L14" s="34"/>
      <c r="M14" s="34"/>
      <c r="N14" s="34"/>
      <c r="O14" s="34"/>
      <c r="P14" s="34"/>
      <c r="Q14" s="34"/>
      <c r="R14" s="44"/>
      <c r="S14" s="113"/>
    </row>
    <row r="15" spans="1:19" ht="15" customHeight="1" x14ac:dyDescent="0.2">
      <c r="A15" s="45" t="str">
        <f>IF(Sporskiftekort!A18="","",Sporskiftekort!A18)</f>
        <v/>
      </c>
      <c r="B15" s="66" t="str">
        <f>IF(Sporskiftekort!B18="","",Sporskiftekort!B18)</f>
        <v/>
      </c>
      <c r="C15" s="39"/>
      <c r="D15" s="10"/>
      <c r="E15" s="10"/>
      <c r="F15" s="10"/>
      <c r="G15" s="10"/>
      <c r="H15" s="10"/>
      <c r="I15" s="10"/>
      <c r="J15" s="46"/>
      <c r="K15" s="39"/>
      <c r="L15" s="10"/>
      <c r="M15" s="10"/>
      <c r="N15" s="10"/>
      <c r="O15" s="10"/>
      <c r="P15" s="10"/>
      <c r="Q15" s="10"/>
      <c r="R15" s="46"/>
      <c r="S15" s="114"/>
    </row>
    <row r="16" spans="1:19" ht="15" customHeight="1" x14ac:dyDescent="0.2">
      <c r="A16" s="45" t="str">
        <f>IF(Sporskiftekort!A19="","",Sporskiftekort!A19)</f>
        <v/>
      </c>
      <c r="B16" s="66" t="str">
        <f>IF(Sporskiftekort!B19="","",Sporskiftekort!B19)</f>
        <v/>
      </c>
      <c r="C16" s="39"/>
      <c r="D16" s="10"/>
      <c r="E16" s="10"/>
      <c r="F16" s="10"/>
      <c r="G16" s="10"/>
      <c r="H16" s="10"/>
      <c r="I16" s="10"/>
      <c r="J16" s="46"/>
      <c r="K16" s="39"/>
      <c r="L16" s="10"/>
      <c r="M16" s="10"/>
      <c r="N16" s="10"/>
      <c r="O16" s="10"/>
      <c r="P16" s="10"/>
      <c r="Q16" s="10"/>
      <c r="R16" s="46"/>
      <c r="S16" s="114"/>
    </row>
    <row r="17" spans="1:19" ht="15" customHeight="1" x14ac:dyDescent="0.2">
      <c r="A17" s="45" t="str">
        <f>IF(Sporskiftekort!A20="","",Sporskiftekort!A20)</f>
        <v/>
      </c>
      <c r="B17" s="66" t="str">
        <f>IF(Sporskiftekort!B20="","",Sporskiftekort!B20)</f>
        <v/>
      </c>
      <c r="C17" s="39"/>
      <c r="D17" s="10"/>
      <c r="E17" s="10"/>
      <c r="F17" s="10"/>
      <c r="G17" s="10"/>
      <c r="H17" s="10"/>
      <c r="I17" s="10"/>
      <c r="J17" s="46"/>
      <c r="K17" s="39"/>
      <c r="L17" s="10"/>
      <c r="M17" s="10"/>
      <c r="N17" s="10"/>
      <c r="O17" s="10"/>
      <c r="P17" s="10"/>
      <c r="Q17" s="10"/>
      <c r="R17" s="46"/>
      <c r="S17" s="114"/>
    </row>
    <row r="18" spans="1:19" ht="15" customHeight="1" x14ac:dyDescent="0.2">
      <c r="A18" s="45" t="str">
        <f>IF(Sporskiftekort!A21="","",Sporskiftekort!A21)</f>
        <v/>
      </c>
      <c r="B18" s="66" t="str">
        <f>IF(Sporskiftekort!B21="","",Sporskiftekort!B21)</f>
        <v/>
      </c>
      <c r="C18" s="39"/>
      <c r="D18" s="10"/>
      <c r="E18" s="10"/>
      <c r="F18" s="10"/>
      <c r="G18" s="10"/>
      <c r="H18" s="10"/>
      <c r="I18" s="10"/>
      <c r="J18" s="46"/>
      <c r="K18" s="39"/>
      <c r="L18" s="10"/>
      <c r="M18" s="10"/>
      <c r="N18" s="10"/>
      <c r="O18" s="10"/>
      <c r="P18" s="10"/>
      <c r="Q18" s="10"/>
      <c r="R18" s="46"/>
      <c r="S18" s="114"/>
    </row>
    <row r="19" spans="1:19" ht="15" customHeight="1" x14ac:dyDescent="0.2">
      <c r="A19" s="45" t="str">
        <f>IF(Sporskiftekort!A22="","",Sporskiftekort!A22)</f>
        <v/>
      </c>
      <c r="B19" s="66" t="str">
        <f>IF(Sporskiftekort!B22="","",Sporskiftekort!B22)</f>
        <v/>
      </c>
      <c r="C19" s="39"/>
      <c r="D19" s="10"/>
      <c r="E19" s="10"/>
      <c r="F19" s="10"/>
      <c r="G19" s="10"/>
      <c r="H19" s="10"/>
      <c r="I19" s="10"/>
      <c r="J19" s="46"/>
      <c r="K19" s="39"/>
      <c r="L19" s="10"/>
      <c r="M19" s="10"/>
      <c r="N19" s="10"/>
      <c r="O19" s="10"/>
      <c r="P19" s="10"/>
      <c r="Q19" s="10"/>
      <c r="R19" s="46"/>
      <c r="S19" s="114"/>
    </row>
    <row r="20" spans="1:19" ht="15" customHeight="1" x14ac:dyDescent="0.2">
      <c r="A20" s="45" t="str">
        <f>IF(Sporskiftekort!A23="","",Sporskiftekort!A23)</f>
        <v/>
      </c>
      <c r="B20" s="66" t="str">
        <f>IF(Sporskiftekort!B23="","",Sporskiftekort!B23)</f>
        <v/>
      </c>
      <c r="C20" s="39"/>
      <c r="D20" s="10"/>
      <c r="E20" s="10"/>
      <c r="F20" s="10"/>
      <c r="G20" s="10"/>
      <c r="H20" s="10"/>
      <c r="I20" s="10"/>
      <c r="J20" s="46"/>
      <c r="K20" s="39"/>
      <c r="L20" s="10"/>
      <c r="M20" s="10"/>
      <c r="N20" s="10"/>
      <c r="O20" s="10"/>
      <c r="P20" s="10"/>
      <c r="Q20" s="10"/>
      <c r="R20" s="46"/>
      <c r="S20" s="114"/>
    </row>
    <row r="21" spans="1:19" ht="15" customHeight="1" x14ac:dyDescent="0.2">
      <c r="A21" s="45" t="str">
        <f>IF(Sporskiftekort!A24="","",Sporskiftekort!A24)</f>
        <v/>
      </c>
      <c r="B21" s="66" t="str">
        <f>IF(Sporskiftekort!B24="","",Sporskiftekort!B24)</f>
        <v/>
      </c>
      <c r="C21" s="39"/>
      <c r="D21" s="10"/>
      <c r="E21" s="10"/>
      <c r="F21" s="10"/>
      <c r="G21" s="10"/>
      <c r="H21" s="10"/>
      <c r="I21" s="10"/>
      <c r="J21" s="46"/>
      <c r="K21" s="39"/>
      <c r="L21" s="10"/>
      <c r="M21" s="10"/>
      <c r="N21" s="10"/>
      <c r="O21" s="10"/>
      <c r="P21" s="10"/>
      <c r="Q21" s="10"/>
      <c r="R21" s="46"/>
      <c r="S21" s="114"/>
    </row>
    <row r="22" spans="1:19" ht="15" customHeight="1" x14ac:dyDescent="0.2">
      <c r="A22" s="45" t="str">
        <f>IF(Sporskiftekort!A25="","",Sporskiftekort!A25)</f>
        <v/>
      </c>
      <c r="B22" s="66" t="str">
        <f>IF(Sporskiftekort!B25="","",Sporskiftekort!B25)</f>
        <v/>
      </c>
      <c r="C22" s="39"/>
      <c r="D22" s="10"/>
      <c r="E22" s="10"/>
      <c r="F22" s="10"/>
      <c r="G22" s="10"/>
      <c r="H22" s="10"/>
      <c r="I22" s="10"/>
      <c r="J22" s="46"/>
      <c r="K22" s="39"/>
      <c r="L22" s="10"/>
      <c r="M22" s="10"/>
      <c r="N22" s="10"/>
      <c r="O22" s="10"/>
      <c r="P22" s="10"/>
      <c r="Q22" s="10"/>
      <c r="R22" s="46"/>
      <c r="S22" s="114"/>
    </row>
    <row r="23" spans="1:19" ht="15" customHeight="1" x14ac:dyDescent="0.2">
      <c r="A23" s="45" t="str">
        <f>IF(Sporskiftekort!A26="","",Sporskiftekort!A26)</f>
        <v/>
      </c>
      <c r="B23" s="66" t="str">
        <f>IF(Sporskiftekort!B26="","",Sporskiftekort!B26)</f>
        <v/>
      </c>
      <c r="C23" s="39"/>
      <c r="D23" s="10"/>
      <c r="E23" s="10"/>
      <c r="F23" s="10"/>
      <c r="G23" s="10"/>
      <c r="H23" s="10"/>
      <c r="I23" s="10"/>
      <c r="J23" s="46"/>
      <c r="K23" s="39"/>
      <c r="L23" s="10"/>
      <c r="M23" s="10"/>
      <c r="N23" s="10"/>
      <c r="O23" s="10"/>
      <c r="P23" s="10"/>
      <c r="Q23" s="10"/>
      <c r="R23" s="46"/>
      <c r="S23" s="114"/>
    </row>
    <row r="24" spans="1:19" ht="15" customHeight="1" x14ac:dyDescent="0.2">
      <c r="A24" s="45" t="str">
        <f>IF(Sporskiftekort!A27="","",Sporskiftekort!A27)</f>
        <v/>
      </c>
      <c r="B24" s="66" t="str">
        <f>IF(Sporskiftekort!B27="","",Sporskiftekort!B27)</f>
        <v/>
      </c>
      <c r="C24" s="39"/>
      <c r="D24" s="10"/>
      <c r="E24" s="10"/>
      <c r="F24" s="10"/>
      <c r="G24" s="10"/>
      <c r="H24" s="10"/>
      <c r="I24" s="10"/>
      <c r="J24" s="46"/>
      <c r="K24" s="39"/>
      <c r="L24" s="10"/>
      <c r="M24" s="10"/>
      <c r="N24" s="10"/>
      <c r="O24" s="10"/>
      <c r="P24" s="10"/>
      <c r="Q24" s="10"/>
      <c r="R24" s="46"/>
      <c r="S24" s="114"/>
    </row>
    <row r="25" spans="1:19" ht="15" customHeight="1" x14ac:dyDescent="0.2">
      <c r="A25" s="45" t="str">
        <f>IF(Sporskiftekort!A28="","",Sporskiftekort!A28)</f>
        <v/>
      </c>
      <c r="B25" s="66" t="str">
        <f>IF(Sporskiftekort!B28="","",Sporskiftekort!B28)</f>
        <v/>
      </c>
      <c r="C25" s="39"/>
      <c r="D25" s="10"/>
      <c r="E25" s="10"/>
      <c r="F25" s="10"/>
      <c r="G25" s="10"/>
      <c r="H25" s="10"/>
      <c r="I25" s="10"/>
      <c r="J25" s="46"/>
      <c r="K25" s="39"/>
      <c r="L25" s="10"/>
      <c r="M25" s="10"/>
      <c r="N25" s="10"/>
      <c r="O25" s="10"/>
      <c r="P25" s="10"/>
      <c r="Q25" s="10"/>
      <c r="R25" s="46"/>
      <c r="S25" s="114"/>
    </row>
    <row r="26" spans="1:19" ht="15" customHeight="1" x14ac:dyDescent="0.2">
      <c r="A26" s="45" t="str">
        <f>IF(Sporskiftekort!A29="","",Sporskiftekort!A29)</f>
        <v/>
      </c>
      <c r="B26" s="66" t="str">
        <f>IF(Sporskiftekort!B29="","",Sporskiftekort!B29)</f>
        <v/>
      </c>
      <c r="C26" s="39"/>
      <c r="D26" s="10"/>
      <c r="E26" s="10"/>
      <c r="F26" s="10"/>
      <c r="G26" s="10"/>
      <c r="H26" s="10"/>
      <c r="I26" s="10"/>
      <c r="J26" s="46"/>
      <c r="K26" s="39"/>
      <c r="L26" s="10"/>
      <c r="M26" s="10"/>
      <c r="N26" s="10"/>
      <c r="O26" s="10"/>
      <c r="P26" s="10"/>
      <c r="Q26" s="10"/>
      <c r="R26" s="46"/>
      <c r="S26" s="114"/>
    </row>
    <row r="27" spans="1:19" ht="15" customHeight="1" x14ac:dyDescent="0.2">
      <c r="A27" s="45" t="str">
        <f>IF(Sporskiftekort!A30="","",Sporskiftekort!A30)</f>
        <v/>
      </c>
      <c r="B27" s="66" t="str">
        <f>IF(Sporskiftekort!B30="","",Sporskiftekort!B30)</f>
        <v/>
      </c>
      <c r="C27" s="39"/>
      <c r="D27" s="10"/>
      <c r="E27" s="10"/>
      <c r="F27" s="10"/>
      <c r="G27" s="10"/>
      <c r="H27" s="10"/>
      <c r="I27" s="10"/>
      <c r="J27" s="46"/>
      <c r="K27" s="39"/>
      <c r="L27" s="10"/>
      <c r="M27" s="10"/>
      <c r="N27" s="10"/>
      <c r="O27" s="10"/>
      <c r="P27" s="10"/>
      <c r="Q27" s="10"/>
      <c r="R27" s="46"/>
      <c r="S27" s="114"/>
    </row>
    <row r="28" spans="1:19" ht="15" customHeight="1" x14ac:dyDescent="0.2">
      <c r="A28" s="45" t="str">
        <f>IF(Sporskiftekort!A31="","",Sporskiftekort!A31)</f>
        <v/>
      </c>
      <c r="B28" s="66" t="str">
        <f>IF(Sporskiftekort!B31="","",Sporskiftekort!B31)</f>
        <v/>
      </c>
      <c r="C28" s="39"/>
      <c r="D28" s="10"/>
      <c r="E28" s="10"/>
      <c r="F28" s="10"/>
      <c r="G28" s="10"/>
      <c r="H28" s="10"/>
      <c r="I28" s="10"/>
      <c r="J28" s="46"/>
      <c r="K28" s="39"/>
      <c r="L28" s="10"/>
      <c r="M28" s="10"/>
      <c r="N28" s="10"/>
      <c r="O28" s="10"/>
      <c r="P28" s="10"/>
      <c r="Q28" s="10"/>
      <c r="R28" s="46"/>
      <c r="S28" s="114"/>
    </row>
    <row r="29" spans="1:19" ht="15" customHeight="1" x14ac:dyDescent="0.2">
      <c r="A29" s="45" t="str">
        <f>IF(Sporskiftekort!A32="","",Sporskiftekort!A32)</f>
        <v/>
      </c>
      <c r="B29" s="66" t="str">
        <f>IF(Sporskiftekort!B32="","",Sporskiftekort!B32)</f>
        <v/>
      </c>
      <c r="C29" s="39"/>
      <c r="D29" s="10"/>
      <c r="E29" s="10"/>
      <c r="F29" s="10"/>
      <c r="G29" s="10"/>
      <c r="H29" s="10"/>
      <c r="I29" s="10"/>
      <c r="J29" s="46"/>
      <c r="K29" s="39"/>
      <c r="L29" s="10"/>
      <c r="M29" s="10"/>
      <c r="N29" s="10"/>
      <c r="O29" s="10"/>
      <c r="P29" s="10"/>
      <c r="Q29" s="10"/>
      <c r="R29" s="46"/>
      <c r="S29" s="114"/>
    </row>
    <row r="30" spans="1:19" ht="15" customHeight="1" x14ac:dyDescent="0.2">
      <c r="A30" s="45" t="str">
        <f>IF(Sporskiftekort!A33="","",Sporskiftekort!A33)</f>
        <v/>
      </c>
      <c r="B30" s="66" t="str">
        <f>IF(Sporskiftekort!B33="","",Sporskiftekort!B33)</f>
        <v/>
      </c>
      <c r="C30" s="39"/>
      <c r="D30" s="10"/>
      <c r="E30" s="10"/>
      <c r="F30" s="10"/>
      <c r="G30" s="10"/>
      <c r="H30" s="10"/>
      <c r="I30" s="10"/>
      <c r="J30" s="46"/>
      <c r="K30" s="39"/>
      <c r="L30" s="10"/>
      <c r="M30" s="10"/>
      <c r="N30" s="10"/>
      <c r="O30" s="10"/>
      <c r="P30" s="10"/>
      <c r="Q30" s="10"/>
      <c r="R30" s="46"/>
      <c r="S30" s="114"/>
    </row>
    <row r="31" spans="1:19" ht="15" customHeight="1" x14ac:dyDescent="0.2">
      <c r="A31" s="45" t="str">
        <f>IF(Sporskiftekort!A34="","",Sporskiftekort!A34)</f>
        <v/>
      </c>
      <c r="B31" s="66" t="str">
        <f>IF(Sporskiftekort!B34="","",Sporskiftekort!B34)</f>
        <v/>
      </c>
      <c r="C31" s="39"/>
      <c r="D31" s="10"/>
      <c r="E31" s="10"/>
      <c r="F31" s="10"/>
      <c r="G31" s="10"/>
      <c r="H31" s="10"/>
      <c r="I31" s="10"/>
      <c r="J31" s="46"/>
      <c r="K31" s="39"/>
      <c r="L31" s="10"/>
      <c r="M31" s="10"/>
      <c r="N31" s="10"/>
      <c r="O31" s="10"/>
      <c r="P31" s="10"/>
      <c r="Q31" s="10"/>
      <c r="R31" s="46"/>
      <c r="S31" s="114"/>
    </row>
    <row r="32" spans="1:19" ht="15" customHeight="1" x14ac:dyDescent="0.2">
      <c r="A32" s="45" t="str">
        <f>IF(Sporskiftekort!A35="","",Sporskiftekort!A35)</f>
        <v/>
      </c>
      <c r="B32" s="66" t="str">
        <f>IF(Sporskiftekort!B35="","",Sporskiftekort!B35)</f>
        <v/>
      </c>
      <c r="C32" s="39"/>
      <c r="D32" s="10"/>
      <c r="E32" s="10"/>
      <c r="F32" s="10"/>
      <c r="G32" s="10"/>
      <c r="H32" s="10"/>
      <c r="I32" s="10"/>
      <c r="J32" s="46"/>
      <c r="K32" s="39"/>
      <c r="L32" s="10"/>
      <c r="M32" s="10"/>
      <c r="N32" s="10"/>
      <c r="O32" s="10"/>
      <c r="P32" s="10"/>
      <c r="Q32" s="10"/>
      <c r="R32" s="46"/>
      <c r="S32" s="114"/>
    </row>
    <row r="33" spans="1:19" ht="15" customHeight="1" thickBot="1" x14ac:dyDescent="0.25">
      <c r="A33" s="47" t="str">
        <f>IF(Sporskiftekort!A36="","",Sporskiftekort!A36)</f>
        <v/>
      </c>
      <c r="B33" s="67" t="str">
        <f>IF(Sporskiftekort!B36="","",Sporskiftekort!B36)</f>
        <v/>
      </c>
      <c r="C33" s="41"/>
      <c r="D33" s="2"/>
      <c r="E33" s="2"/>
      <c r="F33" s="2"/>
      <c r="G33" s="2"/>
      <c r="H33" s="2"/>
      <c r="I33" s="2"/>
      <c r="J33" s="48"/>
      <c r="K33" s="41"/>
      <c r="L33" s="2"/>
      <c r="M33" s="2"/>
      <c r="N33" s="2"/>
      <c r="O33" s="2"/>
      <c r="P33" s="2"/>
      <c r="Q33" s="2"/>
      <c r="R33" s="48"/>
      <c r="S33" s="115"/>
    </row>
    <row r="34" spans="1:19" ht="15" x14ac:dyDescent="0.25">
      <c r="E34" s="77"/>
      <c r="F34" s="77" t="s">
        <v>155</v>
      </c>
      <c r="G34" s="77"/>
      <c r="H34" s="77"/>
      <c r="I34" s="77"/>
      <c r="J34" s="77"/>
      <c r="K34" s="77"/>
    </row>
  </sheetData>
  <mergeCells count="16">
    <mergeCell ref="C10:S10"/>
    <mergeCell ref="A11:B11"/>
    <mergeCell ref="A12:B12"/>
    <mergeCell ref="C12:S13"/>
    <mergeCell ref="A1:S1"/>
    <mergeCell ref="A2:B5"/>
    <mergeCell ref="C2:R2"/>
    <mergeCell ref="S2:S9"/>
    <mergeCell ref="C3:R3"/>
    <mergeCell ref="C4:J4"/>
    <mergeCell ref="K4:R4"/>
    <mergeCell ref="A7:B7"/>
    <mergeCell ref="A6:B6"/>
    <mergeCell ref="A8:B8"/>
    <mergeCell ref="A9:B9"/>
    <mergeCell ref="A10:B10"/>
  </mergeCells>
  <conditionalFormatting sqref="C14:R33">
    <cfRule type="cellIs" dxfId="265" priority="3" operator="equal">
      <formula>"Nej"</formula>
    </cfRule>
  </conditionalFormatting>
  <conditionalFormatting sqref="C14:R33">
    <cfRule type="expression" dxfId="264" priority="1" stopIfTrue="1">
      <formula>C$7="N/A"</formula>
    </cfRule>
    <cfRule type="containsBlanks" priority="2" stopIfTrue="1">
      <formula>LEN(TRIM(C14))=0</formula>
    </cfRule>
  </conditionalFormatting>
  <pageMargins left="0.23622047244094491" right="0.23622047244094491" top="0.74803149606299213" bottom="0.74803149606299213" header="0.31496062992125984" footer="0.31496062992125984"/>
  <pageSetup paperSize="9" scale="63" orientation="landscape" r:id="rId1"/>
  <headerFooter>
    <oddFooter>&amp;L&amp;"ariel,Normal"&amp;6&amp;A
&amp;F
&amp;Z&amp;F&amp;9
&amp;C&amp;"Arial,Normal"&amp;9Side &amp;P af &amp;N&amp;R&amp;"ariel,Normal"&amp;6&amp;D &amp;T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Andet!$A$7:$A$8</xm:f>
          </x14:formula1>
          <xm:sqref>C14:R33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DK Document" ma:contentTypeID="0x010100714CB19F1F31C243A649EF58ED9DBD0E0003D0E125DD4C774884AF6FC5794D0F28" ma:contentTypeVersion="50" ma:contentTypeDescription="" ma:contentTypeScope="" ma:versionID="b06bcc98192b92e6ca4c4512642dac80">
  <xsd:schema xmlns:xsd="http://www.w3.org/2001/XMLSchema" xmlns:xs="http://www.w3.org/2001/XMLSchema" xmlns:p="http://schemas.microsoft.com/office/2006/metadata/properties" xmlns:ns2="2c8898e1-d2fb-49e5-bd22-e78955a92ea2" xmlns:ns3="6ba552db-91b7-41d5-b161-1efdb4c69ae3" targetNamespace="http://schemas.microsoft.com/office/2006/metadata/properties" ma:root="true" ma:fieldsID="514fc9e0bb20ff901b238a957620ab7c" ns2:_="" ns3:_="">
    <xsd:import namespace="2c8898e1-d2fb-49e5-bd22-e78955a92ea2"/>
    <xsd:import namespace="6ba552db-91b7-41d5-b161-1efdb4c69ae3"/>
    <xsd:element name="properties">
      <xsd:complexType>
        <xsd:sequence>
          <xsd:element name="documentManagement">
            <xsd:complexType>
              <xsd:all>
                <xsd:element ref="ns2:gf363b669f7f4e8b9aba450c32630b5f" minOccurs="0"/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8898e1-d2fb-49e5-bd22-e78955a92ea2" elementFormDefault="qualified">
    <xsd:import namespace="http://schemas.microsoft.com/office/2006/documentManagement/types"/>
    <xsd:import namespace="http://schemas.microsoft.com/office/infopath/2007/PartnerControls"/>
    <xsd:element name="gf363b669f7f4e8b9aba450c32630b5f" ma:index="8" ma:taxonomy="true" ma:internalName="gf363b669f7f4e8b9aba450c32630b5f" ma:taxonomyFieldName="Document_x0020_Classification" ma:displayName="Document Classification" ma:readOnly="false" ma:default="1;#Tjenestebrug|863bd111-1cbc-454e-85c1-2ced21d5b50a" ma:fieldId="{0f363b66-9f7f-4e8b-9aba-450c32630b5f}" ma:sspId="eeea9554-18f9-45df-b48a-d6aeffd9a926" ma:termSetId="f4d04b67-386e-4d72-8353-eace1ec91a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68e558e-de5e-485d-9a70-9f548c0705d1}" ma:internalName="TaxCatchAll" ma:showField="CatchAllData" ma:web="f93c9f24-2cf0-40ab-99df-9b810c755c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68e558e-de5e-485d-9a70-9f548c0705d1}" ma:internalName="TaxCatchAllLabel" ma:readOnly="true" ma:showField="CatchAllDataLabel" ma:web="f93c9f24-2cf0-40ab-99df-9b810c755c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552db-91b7-41d5-b161-1efdb4c69a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8898e1-d2fb-49e5-bd22-e78955a92ea2">
      <Value>1</Value>
    </TaxCatchAll>
    <gf363b669f7f4e8b9aba450c32630b5f xmlns="2c8898e1-d2fb-49e5-bd22-e78955a92ea2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 use</TermName>
          <TermId xmlns="http://schemas.microsoft.com/office/infopath/2007/PartnerControls">863bd111-1cbc-454e-85c1-2ced21d5b50a</TermId>
        </TermInfo>
      </Terms>
    </gf363b669f7f4e8b9aba450c32630b5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eeea9554-18f9-45df-b48a-d6aeffd9a926" ContentTypeId="0x010100714CB19F1F31C243A649EF58ED9DBD0E" PreviousValue="false"/>
</file>

<file path=customXml/itemProps1.xml><?xml version="1.0" encoding="utf-8"?>
<ds:datastoreItem xmlns:ds="http://schemas.openxmlformats.org/officeDocument/2006/customXml" ds:itemID="{1F0776ED-BAA6-45DB-8DCA-84AC33E95E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8898e1-d2fb-49e5-bd22-e78955a92ea2"/>
    <ds:schemaRef ds:uri="6ba552db-91b7-41d5-b161-1efdb4c69a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CB02EA-B4D3-41A8-807B-432400FE2213}">
  <ds:schemaRefs>
    <ds:schemaRef ds:uri="http://purl.org/dc/elements/1.1/"/>
    <ds:schemaRef ds:uri="http://schemas.openxmlformats.org/package/2006/metadata/core-properties"/>
    <ds:schemaRef ds:uri="http://www.w3.org/XML/1998/namespace"/>
    <ds:schemaRef ds:uri="6ba552db-91b7-41d5-b161-1efdb4c69ae3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2c8898e1-d2fb-49e5-bd22-e78955a92ea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0E18B77-075B-44A5-B6AD-043FF45D187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E774FAF-938B-40B3-A29D-30218932150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Sporskifte_Stamdata</vt:lpstr>
      <vt:lpstr>Sporskiftekort</vt:lpstr>
      <vt:lpstr>Sporskiftekort_Bagside_1</vt:lpstr>
      <vt:lpstr>Kontrol_FAKOP_Tungeparti_Stam</vt:lpstr>
      <vt:lpstr>Kontrol_FAKOP_Tungeparti_Afvg</vt:lpstr>
      <vt:lpstr>Inddækning_Bevæglig_Hjertespids</vt:lpstr>
      <vt:lpstr>Sporskiftekort_Bagside_2</vt:lpstr>
      <vt:lpstr>Øvrige_Type_2_Kontroller</vt:lpstr>
      <vt:lpstr>Type_2_Kontrol_Tungeruller</vt:lpstr>
      <vt:lpstr>Kontrol_af_Fejlsteder</vt:lpstr>
      <vt:lpstr>Nominelle_Værdier</vt:lpstr>
      <vt:lpstr>Tolerancer</vt:lpstr>
      <vt:lpstr>Sporskifte_Data_Kh_Rg</vt:lpstr>
      <vt:lpstr>Andet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Sporskiftekort</dc:title>
  <dc:creator>René Xavier Victor Fongemie</dc:creator>
  <cp:lastModifiedBy>René Xavier Victor Fongemie</cp:lastModifiedBy>
  <cp:lastPrinted>2019-04-26T12:47:24Z</cp:lastPrinted>
  <dcterms:created xsi:type="dcterms:W3CDTF">2019-02-26T13:08:58Z</dcterms:created>
  <dcterms:modified xsi:type="dcterms:W3CDTF">2019-04-26T14:02:01Z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0x010100714CB19F1F31C243A649EF58ED9DBD0E0003D0E125DD4C774884AF6FC5794D0F28</vt:lpwstr>
  </property>
  <property fmtid="{D5CDD505-2E9C-101B-9397-08002B2CF9AE}" pid="3" name="Document Classification">
    <vt:lpwstr>1;#Official use|863bd111-1cbc-454e-85c1-2ced21d5b50a</vt:lpwstr>
  </property>
  <property fmtid="{D5CDD505-2E9C-101B-9397-08002B2CF9AE}" pid="4" name="AuthorIds_UIVersion_3">
    <vt:lpwstr>1630</vt:lpwstr>
  </property>
  <property fmtid="{D5CDD505-2E9C-101B-9397-08002B2CF9AE}" pid="5" name="AuthorIds_UIVersion_7">
    <vt:lpwstr>1630</vt:lpwstr>
  </property>
  <property fmtid="{D5CDD505-2E9C-101B-9397-08002B2CF9AE}" pid="6" name="AuthorIds_UIVersion_8">
    <vt:lpwstr>1630</vt:lpwstr>
  </property>
</Properties>
</file>